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0221-Galo\0-Datos\010-Temas publc\20190213-APHINITY\"/>
    </mc:Choice>
  </mc:AlternateContent>
  <bookViews>
    <workbookView xWindow="0" yWindow="0" windowWidth="20490" windowHeight="7650"/>
  </bookViews>
  <sheets>
    <sheet name="Inc Acum" sheetId="3" r:id="rId1"/>
    <sheet name="PtSLEv" sheetId="1" r:id="rId2"/>
    <sheet name="Coste" sheetId="7" r:id="rId3"/>
    <sheet name="Baseline" sheetId="2" r:id="rId4"/>
    <sheet name="Size por HR" sheetId="6" r:id="rId5"/>
    <sheet name="Val Evid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I17" i="1" l="1"/>
  <c r="I16" i="1"/>
  <c r="G16" i="1"/>
  <c r="J17" i="1"/>
  <c r="J16" i="1"/>
  <c r="F14" i="1"/>
  <c r="F13" i="1"/>
  <c r="F12" i="1"/>
  <c r="I14" i="1"/>
  <c r="I13" i="1"/>
  <c r="I12" i="1"/>
  <c r="I8" i="1"/>
  <c r="C20" i="1" l="1"/>
  <c r="B20" i="1"/>
  <c r="F22" i="1"/>
  <c r="D22" i="1"/>
  <c r="E19" i="6" l="1"/>
  <c r="E18" i="6"/>
  <c r="V16" i="6"/>
  <c r="V15" i="6"/>
  <c r="I6" i="6"/>
  <c r="C15" i="6" s="1"/>
  <c r="E15" i="6" l="1"/>
  <c r="C8" i="6"/>
  <c r="C16" i="6" s="1"/>
  <c r="E16" i="6" s="1"/>
  <c r="C17" i="6" l="1"/>
  <c r="C21" i="6"/>
  <c r="C55" i="3"/>
  <c r="B55" i="3"/>
  <c r="C54" i="3"/>
  <c r="B54" i="3"/>
  <c r="D41" i="3"/>
  <c r="D40" i="3"/>
  <c r="H22" i="3"/>
  <c r="B22" i="3"/>
  <c r="A22" i="3"/>
  <c r="H21" i="3"/>
  <c r="B21" i="3"/>
  <c r="A21" i="3"/>
  <c r="F14" i="3"/>
  <c r="C14" i="3"/>
  <c r="A14" i="3"/>
  <c r="E9" i="3"/>
  <c r="M21" i="3" s="1"/>
  <c r="C9" i="3"/>
  <c r="D8" i="3"/>
  <c r="D7" i="3"/>
  <c r="E17" i="6" l="1"/>
  <c r="C20" i="6" s="1"/>
  <c r="C22" i="6" s="1"/>
  <c r="D42" i="3"/>
  <c r="C22" i="3"/>
  <c r="C56" i="3" s="1"/>
  <c r="C58" i="3" s="1"/>
  <c r="C62" i="3" s="1"/>
  <c r="D22" i="3"/>
  <c r="F22" i="3"/>
  <c r="D54" i="3"/>
  <c r="J14" i="3"/>
  <c r="C21" i="3"/>
  <c r="M23" i="3"/>
  <c r="B23" i="3"/>
  <c r="D21" i="3"/>
  <c r="D9" i="3"/>
  <c r="C41" i="3" s="1"/>
  <c r="C46" i="3" s="1"/>
  <c r="B41" i="3"/>
  <c r="B46" i="3" s="1"/>
  <c r="A23" i="3"/>
  <c r="B14" i="3"/>
  <c r="D14" i="3" s="1"/>
  <c r="G14" i="3" s="1"/>
  <c r="F21" i="3"/>
  <c r="B40" i="3"/>
  <c r="I22" i="3" l="1"/>
  <c r="E22" i="3"/>
  <c r="J22" i="3" s="1"/>
  <c r="E25" i="6"/>
  <c r="C23" i="6"/>
  <c r="V21" i="3"/>
  <c r="C23" i="3"/>
  <c r="P28" i="3" s="1"/>
  <c r="E21" i="3"/>
  <c r="J21" i="3" s="1"/>
  <c r="B56" i="3"/>
  <c r="B58" i="3" s="1"/>
  <c r="B62" i="3" s="1"/>
  <c r="I26" i="3"/>
  <c r="E54" i="3" s="1"/>
  <c r="I21" i="3"/>
  <c r="D55" i="3"/>
  <c r="K14" i="3"/>
  <c r="C40" i="3"/>
  <c r="C42" i="3" s="1"/>
  <c r="B42" i="3"/>
  <c r="B45" i="3"/>
  <c r="E14" i="3"/>
  <c r="H14" i="3" s="1"/>
  <c r="D14" i="1"/>
  <c r="D13" i="1"/>
  <c r="D12" i="1"/>
  <c r="H8" i="1"/>
  <c r="K22" i="3" l="1"/>
  <c r="K26" i="3" s="1"/>
  <c r="K27" i="3" s="1"/>
  <c r="K32" i="3" s="1"/>
  <c r="E12" i="1"/>
  <c r="A22" i="1"/>
  <c r="G20" i="6"/>
  <c r="G19" i="6"/>
  <c r="K21" i="3"/>
  <c r="J26" i="3" s="1"/>
  <c r="E56" i="3" s="1"/>
  <c r="V22" i="3"/>
  <c r="V23" i="3" s="1"/>
  <c r="V24" i="3" s="1"/>
  <c r="V25" i="3" s="1"/>
  <c r="M22" i="3"/>
  <c r="M24" i="3" s="1"/>
  <c r="M25" i="3" s="1"/>
  <c r="G56" i="3" s="1"/>
  <c r="G58" i="3" s="1"/>
  <c r="G62" i="3" s="1"/>
  <c r="I27" i="3"/>
  <c r="I35" i="3" s="1"/>
  <c r="M31" i="3"/>
  <c r="M32" i="3" s="1"/>
  <c r="M33" i="3" s="1"/>
  <c r="J41" i="3"/>
  <c r="H40" i="3" s="1"/>
  <c r="D56" i="3"/>
  <c r="D58" i="3" s="1"/>
  <c r="D62" i="3" s="1"/>
  <c r="L14" i="3"/>
  <c r="C45" i="3"/>
  <c r="B48" i="3" s="1"/>
  <c r="E13" i="1"/>
  <c r="B24" i="1" s="1"/>
  <c r="H12" i="1"/>
  <c r="E14" i="1"/>
  <c r="C24" i="1" s="1"/>
  <c r="C22" i="1" l="1"/>
  <c r="B22" i="1"/>
  <c r="G21" i="6"/>
  <c r="M26" i="3"/>
  <c r="I37" i="3"/>
  <c r="I31" i="3"/>
  <c r="I36" i="3"/>
  <c r="I30" i="3"/>
  <c r="I32" i="3"/>
  <c r="F54" i="3"/>
  <c r="I29" i="3"/>
  <c r="I34" i="3"/>
  <c r="J27" i="3"/>
  <c r="J32" i="3" s="1"/>
  <c r="E55" i="3"/>
  <c r="E58" i="3" s="1"/>
  <c r="E62" i="3" s="1"/>
  <c r="J35" i="3"/>
  <c r="K29" i="3"/>
  <c r="K31" i="3"/>
  <c r="K30" i="3"/>
  <c r="F56" i="3"/>
  <c r="J36" i="3"/>
  <c r="J37" i="3"/>
  <c r="J34" i="3"/>
  <c r="F46" i="3"/>
  <c r="B49" i="3"/>
  <c r="H62" i="3" s="1"/>
  <c r="H14" i="1"/>
  <c r="H13" i="1"/>
  <c r="F16" i="1"/>
  <c r="D24" i="1" s="1"/>
  <c r="J29" i="3" l="1"/>
  <c r="J30" i="3"/>
  <c r="K37" i="3"/>
  <c r="J31" i="3"/>
  <c r="K34" i="3"/>
  <c r="K36" i="3"/>
  <c r="F55" i="3"/>
  <c r="F58" i="3" s="1"/>
  <c r="F62" i="3" s="1"/>
  <c r="K35" i="3"/>
  <c r="F17" i="1"/>
  <c r="F24" i="1" s="1"/>
</calcChain>
</file>

<file path=xl/sharedStrings.xml><?xml version="1.0" encoding="utf-8"?>
<sst xmlns="http://schemas.openxmlformats.org/spreadsheetml/2006/main" count="426" uniqueCount="388">
  <si>
    <t xml:space="preserve">20170713-ECA APHINITY 3y, CaMa HER2+, QMT+TZM [PZM vs Plac], +SLE. Minckwitz </t>
  </si>
  <si>
    <t>Minckwitz G, Procter M, de Azambuja E, Zardavas D, on behalf of the APHINITY Steering Committee and Investigators. Adjuvant Pertuzumab and Trastuzumab in Early HER2-Positive Breast Cancer. N Engl J Med. 2017 Jul 13;377(2):122-131</t>
  </si>
  <si>
    <t>Área</t>
  </si>
  <si>
    <t>Supervivencia</t>
  </si>
  <si>
    <t>meses</t>
  </si>
  <si>
    <t>Pertuzumab</t>
  </si>
  <si>
    <t>Placebo</t>
  </si>
  <si>
    <t>Diferencia</t>
  </si>
  <si>
    <t xml:space="preserve">en </t>
  </si>
  <si>
    <t>días</t>
  </si>
  <si>
    <t>en</t>
  </si>
  <si>
    <t>Cálculo por incidencias acumuladas de RR, RAR, NNT con sus IC 95%, potencia estadística y valor de p</t>
  </si>
  <si>
    <r>
      <t>Abreviaturas</t>
    </r>
    <r>
      <rPr>
        <sz val="11"/>
        <rFont val="Calibri"/>
        <family val="2"/>
      </rPr>
      <t xml:space="preserve">: </t>
    </r>
    <r>
      <rPr>
        <b/>
        <sz val="11"/>
        <rFont val="Calibri"/>
        <family val="2"/>
      </rPr>
      <t>RA</t>
    </r>
    <r>
      <rPr>
        <sz val="11"/>
        <rFont val="Calibri"/>
        <family val="2"/>
      </rPr>
      <t>: Riesgo Absoluto; R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: Riesgo Relativo; </t>
    </r>
    <r>
      <rPr>
        <b/>
        <sz val="11"/>
        <rFont val="Calibri"/>
        <family val="2"/>
      </rPr>
      <t>RAR</t>
    </r>
    <r>
      <rPr>
        <sz val="11"/>
        <rFont val="Calibri"/>
        <family val="2"/>
      </rPr>
      <t xml:space="preserve">: Reducción Absoluta del Riesgo; </t>
    </r>
    <r>
      <rPr>
        <b/>
        <sz val="11"/>
        <rFont val="Calibri"/>
        <family val="2"/>
      </rPr>
      <t>NNT</t>
    </r>
    <r>
      <rPr>
        <sz val="11"/>
        <rFont val="Calibri"/>
        <family val="2"/>
      </rPr>
      <t xml:space="preserve">: Número Necesario a Tratar para evitar un evento; </t>
    </r>
    <r>
      <rPr>
        <b/>
        <sz val="11"/>
        <rFont val="Calibri"/>
        <family val="2"/>
      </rPr>
      <t>IC 95%</t>
    </r>
    <r>
      <rPr>
        <sz val="11"/>
        <rFont val="Calibri"/>
        <family val="2"/>
      </rPr>
      <t>: intervalo de confianza al 95%</t>
    </r>
  </si>
  <si>
    <t xml:space="preserve"> </t>
  </si>
  <si>
    <t>Enferman</t>
  </si>
  <si>
    <t>No enferman</t>
  </si>
  <si>
    <t>Con eventos</t>
  </si>
  <si>
    <t>Sin eventos</t>
  </si>
  <si>
    <t>Total</t>
  </si>
  <si>
    <t>Intervención</t>
  </si>
  <si>
    <t>Control</t>
  </si>
  <si>
    <t>Los límites del intervalos de confianza son los exponentes neperianos o antilogaritmos de la ecuación [ ln RR +- Z α/2 x EE (ln RR) ]</t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</si>
  <si>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</si>
  <si>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</si>
  <si>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</si>
  <si>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t>Z α/2 (0,05)</t>
  </si>
  <si>
    <t>ln del LI IC</t>
  </si>
  <si>
    <t>ln del LS IC</t>
  </si>
  <si>
    <t>RR</t>
  </si>
  <si>
    <t>Límite inferior del IC</t>
  </si>
  <si>
    <t>Límite superior del IC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</si>
  <si>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</si>
  <si>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</si>
  <si>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</si>
  <si>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</si>
  <si>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</si>
  <si>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</si>
  <si>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</si>
  <si>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</si>
  <si>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Nº con evento</t>
  </si>
  <si>
    <t>n (de muestra)</t>
  </si>
  <si>
    <t>p (proporción) = eventos / n</t>
  </si>
  <si>
    <t>Estimación puntual de la proporción</t>
  </si>
  <si>
    <t>Operar</t>
  </si>
  <si>
    <t>A continuación, se aplica: IC = RAR - Raíz [(p1-Li1)^2 + (Ls2-p2)^2]  hasta RAR + Raíz [(p2-Li2)^2 + (Ls1-p1)^2], cuidando colocar arriba la proporción mayor y abajo la menor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</si>
  <si>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</si>
  <si>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Cálculo del IC del RAR y del NNT</t>
  </si>
  <si>
    <t>---------------------------------------------&gt;</t>
  </si>
  <si>
    <t>RAR =</t>
  </si>
  <si>
    <t>NNT =</t>
  </si>
  <si>
    <t>APLICAR SÓLO SI EL NNT Y SUS IC SON POSITIVOS</t>
  </si>
  <si>
    <t>====&gt;  NNT</t>
  </si>
  <si>
    <t>Permanecerán sanos sin tomar el Mto de Intervención</t>
  </si>
  <si>
    <t>Permanecerán sanos por tomar el Mto de Intervención</t>
  </si>
  <si>
    <t>Enfermarán incluso tomando el Mto de Intervención</t>
  </si>
  <si>
    <t>APLICAR SÓLO SI EL NNT Y SUS IC SON NEGATIVOS</t>
  </si>
  <si>
    <t>====&gt;  NND</t>
  </si>
  <si>
    <t>Enfermarán por tomar el Mto de Intervención</t>
  </si>
  <si>
    <t>Chi cuadrado de Pearson (un ejemplo de variable cualitativa)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</si>
  <si>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</si>
  <si>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</si>
  <si>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</si>
  <si>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</si>
  <si>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</si>
  <si>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</si>
  <si>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</si>
  <si>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</si>
  <si>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</si>
  <si>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</si>
  <si>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</si>
  <si>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cal= Sumat (observado i - esperado i)^2 / esperado i)</t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</si>
  <si>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</si>
  <si>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</si>
  <si>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</si>
  <si>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</si>
  <si>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</si>
  <si>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</si>
  <si>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CÁLCULOS EN incidencias acumuladas</t>
  </si>
  <si>
    <t>…….</t>
  </si>
  <si>
    <t>años</t>
  </si>
  <si>
    <t>(</t>
  </si>
  <si>
    <t>-</t>
  </si>
  <si>
    <t>)</t>
  </si>
  <si>
    <t>%</t>
  </si>
  <si>
    <t>Nº event Interv (%)</t>
  </si>
  <si>
    <t>Nº event Control (%)</t>
  </si>
  <si>
    <t>RAR</t>
  </si>
  <si>
    <t>NNT</t>
  </si>
  <si>
    <t>potencia</t>
  </si>
  <si>
    <t>a</t>
  </si>
  <si>
    <t>/</t>
  </si>
  <si>
    <t>RR (IC 95%)</t>
  </si>
  <si>
    <t>RAR (IC 95%)</t>
  </si>
  <si>
    <t>NNT (IC 95%)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</si>
  <si>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</si>
  <si>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</si>
  <si>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r>
      <rPr>
        <b/>
        <sz val="13"/>
        <color indexed="60"/>
        <rFont val="Calibri"/>
        <family val="2"/>
      </rPr>
      <t>Tabla 1:</t>
    </r>
    <r>
      <rPr>
        <b/>
        <sz val="13"/>
        <rFont val="Calibri"/>
        <family val="2"/>
      </rPr>
      <t xml:space="preserve"> Características basales de los pacientes en el momento de la aleatorización.</t>
    </r>
  </si>
  <si>
    <t>Las variables dicotómicas se informan en número (%) y las variables continuas en Media (DE)</t>
  </si>
  <si>
    <t>valor de p para la diferencia</t>
  </si>
  <si>
    <t>Pertuzumab; 
n= 2400</t>
  </si>
  <si>
    <t>Placebo; 
n= 2404</t>
  </si>
  <si>
    <t>0 nodos positivos y tumor ≤ 1 cm</t>
  </si>
  <si>
    <t>0 nodos positivos y tumor &gt; 1 cm</t>
  </si>
  <si>
    <t>1 a 3 nodos positivos</t>
  </si>
  <si>
    <t xml:space="preserve">≥ 4 nodos positivos </t>
  </si>
  <si>
    <t>90/2400 (3,75%)</t>
  </si>
  <si>
    <t>84/2404 (3,49%)</t>
  </si>
  <si>
    <t>807/2400 (33,63%)</t>
  </si>
  <si>
    <t>818/2404 (34,03%)</t>
  </si>
  <si>
    <t>907/2400 (37,79%)</t>
  </si>
  <si>
    <t>900/2404 (37,44%)</t>
  </si>
  <si>
    <t>596/2400 (24,83%)</t>
  </si>
  <si>
    <t>602/2404 (25,04%)</t>
  </si>
  <si>
    <t>Regimen de quimioterapia adyuvante</t>
  </si>
  <si>
    <t>Quimioterapia con antraciclinas</t>
  </si>
  <si>
    <t>1865/2400 (77,71%)</t>
  </si>
  <si>
    <t>1877/2404 (78,08%)</t>
  </si>
  <si>
    <t>535/2400 (22,29%)</t>
  </si>
  <si>
    <t>527/2404 (21,92%)</t>
  </si>
  <si>
    <t>Negativo</t>
  </si>
  <si>
    <t>Positivo</t>
  </si>
  <si>
    <t>864/2400 (36%)</t>
  </si>
  <si>
    <t>858/2404 (35,69%)</t>
  </si>
  <si>
    <t>1536/2400 (64%)</t>
  </si>
  <si>
    <t>1546/2404 (64,31%)</t>
  </si>
  <si>
    <t>Version del protocolo</t>
  </si>
  <si>
    <t>Version A</t>
  </si>
  <si>
    <t>Version B</t>
  </si>
  <si>
    <t>1828/2400 (76,17%)</t>
  </si>
  <si>
    <t>1827/2404 (76%)</t>
  </si>
  <si>
    <t>572/2400 (23,83%)</t>
  </si>
  <si>
    <t>577/2404 (24%)</t>
  </si>
  <si>
    <t>Edad</t>
  </si>
  <si>
    <t>&lt; 40 años</t>
  </si>
  <si>
    <t>Entre 40 y 64 años</t>
  </si>
  <si>
    <t>≥ 65 años</t>
  </si>
  <si>
    <t>326/2400 (13,58%)</t>
  </si>
  <si>
    <t>327/2404 (13,6%)</t>
  </si>
  <si>
    <t>1759/2400 (73,29%)</t>
  </si>
  <si>
    <t>1784/2404 (74,21%)</t>
  </si>
  <si>
    <t>315/2400 (13,13%)</t>
  </si>
  <si>
    <t>293/2404 (12,19%)</t>
  </si>
  <si>
    <t>Tamaño del tumor</t>
  </si>
  <si>
    <t>0 a 2 cm</t>
  </si>
  <si>
    <t>2 a &lt; 5 cm</t>
  </si>
  <si>
    <t>≥ 5 cm</t>
  </si>
  <si>
    <t>978/2400 (40,75%)</t>
  </si>
  <si>
    <t>948/2404 (39,43%)</t>
  </si>
  <si>
    <t>1275/2400 (53,13%)</t>
  </si>
  <si>
    <t>1283/2404 (53,37%)</t>
  </si>
  <si>
    <t>147/2400 (6,13%)</t>
  </si>
  <si>
    <t>174/2404 (7,24%)</t>
  </si>
  <si>
    <t>Receptores Hormonales*</t>
  </si>
  <si>
    <t>* Receptores hormonales negativos se refiere a receptor de estrogenos y progesterona negativos, y receptor hormonal positivo indica que tanto uno de los dos, o ambos son positivos.</t>
  </si>
  <si>
    <t>Placebo; 
Nº pacientes (%)</t>
  </si>
  <si>
    <t>Pertuzumab; 
 Nº pacientes (%)</t>
  </si>
  <si>
    <t>n= 2.400</t>
  </si>
  <si>
    <t>n = 2.404</t>
  </si>
  <si>
    <t>Supervivencia libre de enfermedad invasiva</t>
  </si>
  <si>
    <r>
      <t xml:space="preserve">Valor de </t>
    </r>
    <r>
      <rPr>
        <b/>
        <i/>
        <sz val="10"/>
        <rFont val="Calibri"/>
        <family val="2"/>
        <scheme val="minor"/>
      </rPr>
      <t>p</t>
    </r>
    <r>
      <rPr>
        <b/>
        <sz val="10"/>
        <rFont val="Calibri"/>
        <family val="2"/>
        <scheme val="minor"/>
      </rPr>
      <t xml:space="preserve"> para la diferencia</t>
    </r>
  </si>
  <si>
    <r>
      <rPr>
        <b/>
        <sz val="13"/>
        <color indexed="60"/>
        <rFont val="Calibri"/>
        <family val="2"/>
      </rPr>
      <t>Tabla 2</t>
    </r>
    <r>
      <rPr>
        <b/>
        <sz val="13"/>
        <rFont val="Calibri"/>
        <family val="2"/>
      </rPr>
      <t xml:space="preserve">: Mujeres de 52 años (DE 11), con cacer de mama invasivo no metastásico, HER2 positivo. </t>
    </r>
  </si>
  <si>
    <t>¿Pregunta clara, precisa, con identificación de la población, intervención, control y resultados que van a medirse?:</t>
  </si>
  <si>
    <t>Sí</t>
  </si>
  <si>
    <t>¿Se efectúa una aleatorización correcta?:</t>
  </si>
  <si>
    <t>¿Asignación oculta para los reclutadores?:</t>
  </si>
  <si>
    <t>¿Factores pronósticos equilibrados en el inicio y la implementación?:</t>
  </si>
  <si>
    <t xml:space="preserve">Sí </t>
  </si>
  <si>
    <t>¿Asignación oculta para los médicos que hacen el seguimiento?:</t>
  </si>
  <si>
    <t>¿Y para los que asignan los eventos, y para los que obtienen los datos de laboratorio?:</t>
  </si>
  <si>
    <t>¿Es completo el seguimiento, no deteniéndose antes de lo proyectado?:</t>
  </si>
  <si>
    <t>¿Se tienen en cuenta los abandonos y/o pérdidas para análisis de sensibilidad?:</t>
  </si>
  <si>
    <t>No procede</t>
  </si>
  <si>
    <t>¿Se hacen los cálculos por “intención de tratar (ITT)”, y/o por protocolo (PP)?:</t>
  </si>
  <si>
    <t>¿Los resultados son consistentes despues de los análisis de sensibilidad?:</t>
  </si>
  <si>
    <t>Conflictos de intereses:</t>
  </si>
  <si>
    <t>Financiación:</t>
  </si>
  <si>
    <t>Validez de la evidencia para las variables primarias y secundarias proyectadas:</t>
  </si>
  <si>
    <t>ALTA-MODERADA</t>
  </si>
  <si>
    <t>Supervivencia libre de enfermedad</t>
  </si>
  <si>
    <t>Intervalo libre de recaidas</t>
  </si>
  <si>
    <t>ECA APHINITY 3y, CaMa HER2 , QMT TZM [PZM vs Plac], von -Minckwitz 2017</t>
  </si>
  <si>
    <t>Si</t>
  </si>
  <si>
    <t xml:space="preserve">Informan por ITT </t>
  </si>
  <si>
    <t>ROCHE participó en el diseño y  desarrollo del estudio</t>
  </si>
  <si>
    <t>ROCHE</t>
  </si>
  <si>
    <t>Neutropenia</t>
  </si>
  <si>
    <t>Neutropenia Febril</t>
  </si>
  <si>
    <t>Anemia</t>
  </si>
  <si>
    <t>Disminución del recuento de neutrofilos</t>
  </si>
  <si>
    <t>Diarrea</t>
  </si>
  <si>
    <t>Evento adverso fatal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</si>
  <si>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</si>
  <si>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</si>
  <si>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</si>
  <si>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</si>
  <si>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</si>
  <si>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</si>
  <si>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</si>
  <si>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</si>
  <si>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</si>
  <si>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</si>
  <si>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</si>
  <si>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</si>
  <si>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</si>
  <si>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</si>
  <si>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t>1 -β = potencia estadística resultante =&gt; probab de detectar una diferencia entre ambos, en caso de que exista</t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</si>
  <si>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</si>
  <si>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</si>
  <si>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</si>
  <si>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</si>
  <si>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</si>
  <si>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</si>
  <si>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</si>
  <si>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</si>
  <si>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</si>
  <si>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</si>
  <si>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</si>
  <si>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RRR</t>
  </si>
  <si>
    <t>LI IC</t>
  </si>
  <si>
    <t>LS IC</t>
  </si>
  <si>
    <t>1518/2364 (64,21%)</t>
  </si>
  <si>
    <t>1379/2405 (57,34%)</t>
  </si>
  <si>
    <t>1,12 (1,07-1,17)</t>
  </si>
  <si>
    <t>-6,87% (-4,1% a -9,63%)</t>
  </si>
  <si>
    <t>-15 (-10 a -24)</t>
  </si>
  <si>
    <t>385/2364 (16,29%)</t>
  </si>
  <si>
    <t>377/2405 (15,68%)</t>
  </si>
  <si>
    <t>1,04 (0,91-1,18)</t>
  </si>
  <si>
    <t>-0,61% (1,47% a -2,69%)</t>
  </si>
  <si>
    <t>-164 (-37 a 68)</t>
  </si>
  <si>
    <t>287/2364 (12,14%)</t>
  </si>
  <si>
    <t>266/2405 (11,06%)</t>
  </si>
  <si>
    <t>1,1 (0,94-1,28)</t>
  </si>
  <si>
    <t>-1,08% (0,74% a -2,9%)</t>
  </si>
  <si>
    <t>-93 (-34 a 135)</t>
  </si>
  <si>
    <t>228/2364 (9,64%)</t>
  </si>
  <si>
    <t>230/2405 (9,56%)</t>
  </si>
  <si>
    <t>1,01 (0,85-1,2)</t>
  </si>
  <si>
    <t>-0,08% (1,59% a -1,76%)</t>
  </si>
  <si>
    <t>-1231 (-57 a 63)</t>
  </si>
  <si>
    <t>232/2364 (9,81%)</t>
  </si>
  <si>
    <t>90/2405 (3,74%)</t>
  </si>
  <si>
    <t>2,62 (2,07-3,32)</t>
  </si>
  <si>
    <t>-6,07% (-4,66% a -7,51%)</t>
  </si>
  <si>
    <t>-16 (-13 a -21)</t>
  </si>
  <si>
    <t>163/2364 (6,9%)</t>
  </si>
  <si>
    <t>113/2405 (4,7%)</t>
  </si>
  <si>
    <t>1,47 (1,16-1,85)</t>
  </si>
  <si>
    <t>-2,2% (-0,87% a -3,54%)</t>
  </si>
  <si>
    <t>-46 (-28 a -115)</t>
  </si>
  <si>
    <t>18/2364 (0,76%)</t>
  </si>
  <si>
    <t>20/2405 (0,83%)</t>
  </si>
  <si>
    <t>0,92 (0,49-1,73)</t>
  </si>
  <si>
    <t>0,07% (0,6% a -0,46%)</t>
  </si>
  <si>
    <t>1425 (-219 a 167)</t>
  </si>
  <si>
    <t>17/2364 (0,72%)</t>
  </si>
  <si>
    <t>8/2405 (0,33%)</t>
  </si>
  <si>
    <t>2,16 (0,93-5)</t>
  </si>
  <si>
    <t>-0,39% (0,03% a -0,85%)</t>
  </si>
  <si>
    <t>-259 (-118 a 2957)</t>
  </si>
  <si>
    <t>15/2364 (0,63%)</t>
  </si>
  <si>
    <t>6/2405 (0,25%)</t>
  </si>
  <si>
    <t>2,54 (0,99-6,54)</t>
  </si>
  <si>
    <t>-0,39% (0% a -0,82%)</t>
  </si>
  <si>
    <t>-260 (-122 a 218344)</t>
  </si>
  <si>
    <t>2/2364 (0,08%)</t>
  </si>
  <si>
    <t>2/2405 (0,08%)</t>
  </si>
  <si>
    <t>1,02 (0,14-7,22)</t>
  </si>
  <si>
    <t>0% (0,23% a -0,23%)</t>
  </si>
  <si>
    <t>-69334 (-430 a 441)</t>
  </si>
  <si>
    <t>Evento cardiaco primario</t>
  </si>
  <si>
    <t>Evento cardiaco secundario</t>
  </si>
  <si>
    <t>64/2364 (2,71%)</t>
  </si>
  <si>
    <t>67/2405 (2,79%)</t>
  </si>
  <si>
    <t>0,97 (0,69-1,36)</t>
  </si>
  <si>
    <t>0,08% (1,02% a -0,86%)</t>
  </si>
  <si>
    <t>1272 (-116 a 98)</t>
  </si>
  <si>
    <r>
      <rPr>
        <b/>
        <sz val="12"/>
        <color rgb="FF993300"/>
        <rFont val="Calibri"/>
        <family val="2"/>
        <scheme val="minor"/>
      </rPr>
      <t>Tabla 5:</t>
    </r>
    <r>
      <rPr>
        <b/>
        <sz val="12"/>
        <color theme="1"/>
        <rFont val="Calibri"/>
        <family val="2"/>
        <scheme val="minor"/>
      </rPr>
      <t xml:space="preserve"> Graduación de la validez de la evidencia mediante el sistema GRADE.</t>
    </r>
  </si>
  <si>
    <t>Cálculo del tamaño necesario de la muestra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</si>
  <si>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 xml:space="preserve">: Riesgo Absoluto; </t>
    </r>
    <r>
      <rPr>
        <b/>
        <sz val="10"/>
        <rFont val="Calibri"/>
        <family val="2"/>
      </rPr>
      <t>Error alfa</t>
    </r>
    <r>
      <rPr>
        <sz val="10"/>
        <rFont val="Calibri"/>
        <family val="2"/>
      </rPr>
      <t xml:space="preserve">: significación estadística; </t>
    </r>
    <r>
      <rPr>
        <b/>
        <sz val="10"/>
        <rFont val="Calibri"/>
        <family val="2"/>
      </rPr>
      <t>Potencia estadística</t>
    </r>
    <r>
      <rPr>
        <sz val="10"/>
        <rFont val="Calibri"/>
        <family val="2"/>
      </rPr>
      <t xml:space="preserve"> = 1 - Error beta; </t>
    </r>
    <r>
      <rPr>
        <b/>
        <sz val="10"/>
        <rFont val="Calibri"/>
        <family val="2"/>
      </rPr>
      <t>n</t>
    </r>
    <r>
      <rPr>
        <sz val="10"/>
        <rFont val="Calibri"/>
        <family val="2"/>
      </rPr>
      <t>: número de pacientes necesario de cada uno de los grupos</t>
    </r>
  </si>
  <si>
    <r>
      <t>S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 xml:space="preserve"> = S</t>
    </r>
    <r>
      <rPr>
        <vertAlign val="subscript"/>
        <sz val="11"/>
        <rFont val="Calibri"/>
        <family val="2"/>
      </rPr>
      <t>c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=&gt;</t>
    </r>
  </si>
  <si>
    <r>
      <t>1-RA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>= (1-RA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>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</t>
    </r>
    <r>
      <rPr>
        <sz val="11"/>
        <rFont val="Calibri"/>
        <family val="2"/>
      </rPr>
      <t>=&gt;</t>
    </r>
  </si>
  <si>
    <r>
      <t>RA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>= 1 - (1-RA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>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</t>
    </r>
  </si>
  <si>
    <r>
      <t>si se espera un 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 xml:space="preserve"> /año =</t>
    </r>
  </si>
  <si>
    <t>durante</t>
  </si>
  <si>
    <r>
      <t xml:space="preserve"> =&gt; que se espera un 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 xml:space="preserve"> =</t>
    </r>
  </si>
  <si>
    <t>y se espera un HR =</t>
  </si>
  <si>
    <r>
      <t>entonces RA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>= 1 - (1-RA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>)</t>
    </r>
    <r>
      <rPr>
        <vertAlign val="superscript"/>
        <sz val="11"/>
        <rFont val="Calibri"/>
        <family val="2"/>
      </rPr>
      <t>HR</t>
    </r>
    <r>
      <rPr>
        <sz val="11"/>
        <rFont val="Calibri"/>
        <family val="2"/>
      </rPr>
      <t xml:space="preserve"> </t>
    </r>
    <r>
      <rPr>
        <sz val="11"/>
        <rFont val="Calibri"/>
        <family val="2"/>
      </rPr>
      <t>=</t>
    </r>
  </si>
  <si>
    <t>DETERMINACIÓN DEL TAMAÑO DE MUESTRA EN CADA GRUPO DE ESTUDIO PARA LA COMPARACIÓN DE DOS PROPORCIONES.</t>
  </si>
  <si>
    <t xml:space="preserve">Siguendo en mismo razonamiento que antes: </t>
  </si>
  <si>
    <r>
      <t>n = 2pq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(z</t>
    </r>
    <r>
      <rPr>
        <b/>
        <vertAlign val="subscript"/>
        <sz val="11"/>
        <rFont val="Calibri"/>
        <family val="2"/>
      </rPr>
      <t>α/2</t>
    </r>
    <r>
      <rPr>
        <b/>
        <sz val="11"/>
        <rFont val="Calibri"/>
        <family val="2"/>
      </rPr>
      <t xml:space="preserve"> + z</t>
    </r>
    <r>
      <rPr>
        <b/>
        <vertAlign val="subscript"/>
        <sz val="11"/>
        <rFont val="Calibri"/>
        <family val="2"/>
      </rPr>
      <t>β</t>
    </r>
    <r>
      <rPr>
        <b/>
        <sz val="11"/>
        <rFont val="Calibri"/>
        <family val="2"/>
      </rPr>
      <t>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/ (pA - pB)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</t>
    </r>
  </si>
  <si>
    <t>La proporción que debe usarse no es ni pA ni pB, sino la llamada porporción media (pM) = pA+pB/2, y así=&gt;</t>
  </si>
  <si>
    <r>
      <t>n = 2* (pM * qM) * (z α/2 + zβ)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/ (pA - pB)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 </t>
    </r>
  </si>
  <si>
    <t>CÁLCULO DEL TAMAÑO DE MUESTRA PARA UNA DIFERENCIA DE DOS PROPORCIONES</t>
  </si>
  <si>
    <t>% RA control</t>
  </si>
  <si>
    <t>qA</t>
  </si>
  <si>
    <t>% RA intervención</t>
  </si>
  <si>
    <t>qB</t>
  </si>
  <si>
    <t>pM (=proporción Media)</t>
  </si>
  <si>
    <t>qM</t>
  </si>
  <si>
    <t>Para un error alfa</t>
  </si>
  <si>
    <t>=&gt; z α/2 =</t>
  </si>
  <si>
    <t>Para un error beta</t>
  </si>
  <si>
    <t>=&gt; zβ =</t>
  </si>
  <si>
    <t>Numerador</t>
  </si>
  <si>
    <t>Denominador</t>
  </si>
  <si>
    <t>Suma de los eventos</t>
  </si>
  <si>
    <t>n (cada grupo) =</t>
  </si>
  <si>
    <t>2n (total) =</t>
  </si>
  <si>
    <t xml:space="preserve">Si espero pérdidas del </t>
  </si>
  <si>
    <t>=&gt; Total =</t>
  </si>
  <si>
    <t>por grupo</t>
  </si>
  <si>
    <t>Pertuzumab + Trastuzumab + QT</t>
  </si>
  <si>
    <t>Trastuzumab + QT</t>
  </si>
  <si>
    <t>Precio unitario Pertuzumab (PVL+IVA)</t>
  </si>
  <si>
    <t>---------</t>
  </si>
  <si>
    <t>Posología en dosis de carga</t>
  </si>
  <si>
    <t>Posología en dosis de mantenimiento</t>
  </si>
  <si>
    <t>840 mg</t>
  </si>
  <si>
    <t>420 mg</t>
  </si>
  <si>
    <t>55.346 euros</t>
  </si>
  <si>
    <t>Referencia</t>
  </si>
  <si>
    <r>
      <rPr>
        <b/>
        <sz val="10"/>
        <color rgb="FF0000FF"/>
        <rFont val="Calibri"/>
        <family val="2"/>
        <scheme val="minor"/>
      </rPr>
      <t xml:space="preserve">** </t>
    </r>
    <r>
      <rPr>
        <sz val="10"/>
        <color theme="1"/>
        <rFont val="Calibri"/>
        <family val="2"/>
        <scheme val="minor"/>
      </rPr>
      <t>El coste estimado se calcula para un adulto de 70 Kg de peso, y una  superficie de 1,6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</t>
    </r>
  </si>
  <si>
    <r>
      <rPr>
        <b/>
        <sz val="10"/>
        <color rgb="FF0000FF"/>
        <rFont val="Calibri"/>
        <family val="2"/>
        <scheme val="minor"/>
      </rPr>
      <t xml:space="preserve">* </t>
    </r>
    <r>
      <rPr>
        <sz val="10"/>
        <color theme="1"/>
        <rFont val="Calibri"/>
        <family val="2"/>
        <scheme val="minor"/>
      </rPr>
      <t>Habría que aumentar el coste de trastuzumab + QT, el cual no se indica para simplificar, ya que se mantiene en ambos brazos.</t>
    </r>
  </si>
  <si>
    <r>
      <t xml:space="preserve">2.913 euros </t>
    </r>
    <r>
      <rPr>
        <b/>
        <sz val="11"/>
        <color rgb="FF0000FF"/>
        <rFont val="Calibri"/>
        <family val="2"/>
        <scheme val="minor"/>
      </rPr>
      <t>*</t>
    </r>
  </si>
  <si>
    <r>
      <t xml:space="preserve">8 mg / Kg </t>
    </r>
    <r>
      <rPr>
        <b/>
        <sz val="11"/>
        <color rgb="FF0000FF"/>
        <rFont val="Calibri"/>
        <family val="2"/>
        <scheme val="minor"/>
      </rPr>
      <t>**</t>
    </r>
  </si>
  <si>
    <r>
      <t>6 mg / Kg</t>
    </r>
    <r>
      <rPr>
        <b/>
        <sz val="11"/>
        <color rgb="FF0000FF"/>
        <rFont val="Calibri"/>
        <family val="2"/>
        <scheme val="minor"/>
      </rPr>
      <t xml:space="preserve"> **</t>
    </r>
  </si>
  <si>
    <t>Insuficiencia cardíaca o disminución de la FEVI</t>
  </si>
  <si>
    <t>Muerte por insuficiencia cardíaca</t>
  </si>
  <si>
    <t>Cualquier efecto adverso ≥ Grado 3</t>
  </si>
  <si>
    <t>Supervivencia global</t>
  </si>
  <si>
    <t>Permenecen con evento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</si>
  <si>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</si>
  <si>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Enfermedad invasiva</t>
  </si>
  <si>
    <t>Media tSLEv,</t>
  </si>
  <si>
    <t>Dif Medias = PtSLEv,</t>
  </si>
  <si>
    <t>Dif Medias = PtSLEv ,</t>
  </si>
  <si>
    <t>Calculadora del "Tiempo de Supervivencia Libre de Evento" (tSLEv) y de la "Prolongación del Tiempo de Supervivencia Libre de Evento (PtSLEv)"</t>
  </si>
  <si>
    <t>El área de referencia representa</t>
  </si>
  <si>
    <t>En un área de:</t>
  </si>
  <si>
    <t>Área de referencia</t>
  </si>
  <si>
    <t>Tiempo de Supervivencia Libre de Evento (tSLEv)</t>
  </si>
  <si>
    <t>2229/2400 (92,88%)</t>
  </si>
  <si>
    <t>2194/2404 (91,26%)</t>
  </si>
  <si>
    <t>1,02 (1-1,03)</t>
  </si>
  <si>
    <t>2211/2400 (92,13%)</t>
  </si>
  <si>
    <t>2174/2404 (90,43%)</t>
  </si>
  <si>
    <t>1,02 (1-1,04)</t>
  </si>
  <si>
    <t>2208/2400 (92%)</t>
  </si>
  <si>
    <t>2118/2404 (88,1%)</t>
  </si>
  <si>
    <t>1,04 (1,02-1,06)</t>
  </si>
  <si>
    <t>62 (32 a 1238)</t>
  </si>
  <si>
    <t>59 (30 a 1049)</t>
  </si>
  <si>
    <t>26 (18 a 45)</t>
  </si>
  <si>
    <t>2262/2400 (94,25%)</t>
  </si>
  <si>
    <t>2231/2404 (92,8%)</t>
  </si>
  <si>
    <t>69 (35 a 1889)</t>
  </si>
  <si>
    <t xml:space="preserve">Supervivencia libre de enf invasiva (definición STEEP) </t>
  </si>
  <si>
    <t>ECA APHINITY, Mediana de seguimiento 45,4 meses</t>
  </si>
  <si>
    <t>2320/2400 (96,67%)</t>
  </si>
  <si>
    <t>2315/2404 (96,3%)</t>
  </si>
  <si>
    <t>-271 (-70 a 147)</t>
  </si>
  <si>
    <t>1,00 (0,99-1,01)</t>
  </si>
  <si>
    <t>0,37% (-0,68% a 1,42%)</t>
  </si>
  <si>
    <t>1,61% (0,08% a 3,15%)</t>
  </si>
  <si>
    <t>1,69% (0,1% a 3,29%)</t>
  </si>
  <si>
    <t>3,9% (2,21% a 5,59%)</t>
  </si>
  <si>
    <t>1,45% (0,05% a 2,85%)</t>
  </si>
  <si>
    <r>
      <rPr>
        <b/>
        <sz val="12"/>
        <color rgb="FF993300"/>
        <rFont val="Calibri"/>
        <family val="2"/>
        <scheme val="minor"/>
      </rPr>
      <t>Tabla 4:</t>
    </r>
    <r>
      <rPr>
        <b/>
        <sz val="12"/>
        <color theme="1"/>
        <rFont val="Calibri"/>
        <family val="2"/>
        <scheme val="minor"/>
      </rPr>
      <t xml:space="preserve"> Comparación de costes del trataminto evaluado frente a otra/s alternativa/s</t>
    </r>
  </si>
  <si>
    <r>
      <rPr>
        <b/>
        <sz val="11"/>
        <color rgb="FF993300"/>
        <rFont val="Calibri"/>
        <family val="2"/>
        <scheme val="minor"/>
      </rPr>
      <t>Tabla 3 :</t>
    </r>
    <r>
      <rPr>
        <b/>
        <sz val="11"/>
        <rFont val="Calibri"/>
        <family val="2"/>
        <scheme val="minor"/>
      </rPr>
      <t xml:space="preserve"> Cálculo del "Tiempo de Supervivencia Libre de Evento (tSLEv)" por las áreas bajo las curvas</t>
    </r>
  </si>
  <si>
    <t>Quimioterapia sin antraciclinas</t>
  </si>
  <si>
    <t>Estado nodal (ganglios linfáticos)</t>
  </si>
  <si>
    <t>Coste tratamiento completo por paciente (= 18 ciclos, que duran 1 año)</t>
  </si>
  <si>
    <t>Variable</t>
  </si>
  <si>
    <t>Diferencia de eficacia</t>
  </si>
  <si>
    <t xml:space="preserve">Supervivencia libre de enfermedad invasiva </t>
  </si>
  <si>
    <t>Coste incremental por tratamiento completo/ paciente  (diferencia respecto a terapia de referencia)</t>
  </si>
  <si>
    <t>Coste/ ciclo</t>
  </si>
  <si>
    <t>2.913 euros (cada ciclo posterior)</t>
  </si>
  <si>
    <r>
      <t>5.827 euros (1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ciclo)</t>
    </r>
  </si>
  <si>
    <t>NNT 62 (IC 95%, 32 a 1238)</t>
  </si>
  <si>
    <t>Coste Incremental por tratamiento completo/ paciente</t>
  </si>
  <si>
    <t>3.431.452 euros 
(1.771.072 a 68.518.348)</t>
  </si>
  <si>
    <t xml:space="preserve">Calculo de Coste Eficacia Incremental (CEI). </t>
  </si>
  <si>
    <t>Coste de Eficacia Incremental (CEI)</t>
  </si>
  <si>
    <t>Nº de eventos esperados</t>
  </si>
  <si>
    <t>en el grupo control</t>
  </si>
  <si>
    <t>en el grupo intervención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</si>
</sst>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#,##0\ &quot;€&quot;;[Red]\-#,##0\ &quot;€&quot;"/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_-* #,##0\ _€_-;\-* #,##0\ _€_-;_-* &quot;-&quot;??\ _€_-;_-@_-"/>
    <numFmt numFmtId="167" formatCode="_-* #,##0.000\ _€_-;\-* #,##0.000\ _€_-;_-* &quot;-&quot;??\ _€_-;_-@_-"/>
    <numFmt numFmtId="168" formatCode="_-* #,##0.0000\ _€_-;\-* #,##0.0000\ _€_-;_-* &quot;-&quot;??\ _€_-;_-@_-"/>
    <numFmt numFmtId="169" formatCode="_-* #,##0.00000\ _€_-;\-* #,##0.00000\ _€_-;_-* &quot;-&quot;??\ _€_-;_-@_-"/>
    <numFmt numFmtId="170" formatCode="0.0%"/>
    <numFmt numFmtId="171" formatCode="_-* #,##0.000000\ _€_-;\-* #,##0.000000\ _€_-;_-* &quot;-&quot;??\ _€_-;_-@_-"/>
    <numFmt numFmtId="172" formatCode="0.0000"/>
    <numFmt numFmtId="173" formatCode="0.000"/>
    <numFmt numFmtId="174" formatCode="_-* #,##0.0000\ _€_-;\-* #,##0.0000\ _€_-;_-* &quot;-&quot;?\ _€_-;_-@_-"/>
    <numFmt numFmtId="175" formatCode="_-* #,##0.000\ _€_-;\-* #,##0.000\ _€_-;_-* &quot;-&quot;???\ _€_-;_-@_-"/>
    <numFmt numFmtId="176" formatCode="_-* #,##0\ _€_-;\-* #,##0\ _€_-;_-* &quot;-&quot;???\ _€_-;_-@_-"/>
    <numFmt numFmtId="177" formatCode="_-* #,##0.00\ _€_-;\-* #,##0.00\ _€_-;_-* \-??\ _€_-;_-@_-"/>
    <numFmt numFmtId="178" formatCode="_-* #,##0\ _€_-;\-* #,##0\ _€_-;_-* &quot;-&quot;?\ _€_-;_-@_-"/>
    <numFmt numFmtId="179" formatCode="_-* #,##0.00\ _€_-;\-* #,##0.00\ _€_-;_-* &quot;-&quot;???\ _€_-;_-@_-"/>
    <numFmt numFmtId="180" formatCode="#,##0\ &quot;€&quot;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5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24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</font>
    <font>
      <i/>
      <sz val="10"/>
      <color indexed="12"/>
      <name val="Calibri"/>
      <family val="2"/>
    </font>
    <font>
      <i/>
      <sz val="10"/>
      <color indexed="20"/>
      <name val="Calibri"/>
      <family val="2"/>
      <scheme val="minor"/>
    </font>
    <font>
      <b/>
      <sz val="10"/>
      <color indexed="12"/>
      <name val="Calibri"/>
      <family val="2"/>
    </font>
    <font>
      <b/>
      <u/>
      <sz val="12.5"/>
      <name val="Calibri"/>
      <family val="2"/>
      <scheme val="minor"/>
    </font>
    <font>
      <sz val="10"/>
      <color indexed="52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  <scheme val="minor"/>
    </font>
    <font>
      <i/>
      <sz val="10"/>
      <name val="Calibri"/>
      <family val="2"/>
    </font>
    <font>
      <b/>
      <sz val="10"/>
      <name val="Calibri"/>
      <family val="2"/>
    </font>
    <font>
      <sz val="10"/>
      <color theme="9" tint="-0.249977111117893"/>
      <name val="Calibri"/>
      <family val="2"/>
      <scheme val="minor"/>
    </font>
    <font>
      <b/>
      <sz val="13"/>
      <name val="Calibri"/>
      <family val="2"/>
    </font>
    <font>
      <b/>
      <sz val="13"/>
      <color indexed="60"/>
      <name val="Calibri"/>
      <family val="2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9933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indexed="12"/>
      <name val="Trebuchet MS"/>
      <family val="2"/>
    </font>
    <font>
      <vertAlign val="subscript"/>
      <sz val="11"/>
      <name val="Calibri"/>
      <family val="2"/>
    </font>
    <font>
      <vertAlign val="superscript"/>
      <sz val="11"/>
      <name val="Calibri"/>
      <family val="2"/>
    </font>
    <font>
      <b/>
      <u/>
      <sz val="11"/>
      <name val="Calibri"/>
      <family val="2"/>
      <scheme val="minor"/>
    </font>
    <font>
      <b/>
      <vertAlign val="superscript"/>
      <sz val="11"/>
      <name val="Calibri"/>
      <family val="2"/>
    </font>
    <font>
      <b/>
      <vertAlign val="subscript"/>
      <sz val="11"/>
      <name val="Calibri"/>
      <family val="2"/>
    </font>
    <font>
      <sz val="12"/>
      <color indexed="16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FF6600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9933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8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43" fontId="58" fillId="0" borderId="0" applyFont="0" applyFill="0" applyBorder="0" applyAlignment="0" applyProtection="0"/>
  </cellStyleXfs>
  <cellXfs count="5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4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165" fontId="3" fillId="4" borderId="2" xfId="0" applyNumberFormat="1" applyFont="1" applyFill="1" applyBorder="1"/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65" fontId="3" fillId="4" borderId="5" xfId="0" applyNumberFormat="1" applyFont="1" applyFill="1" applyBorder="1"/>
    <xf numFmtId="0" fontId="3" fillId="0" borderId="5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5" fillId="0" borderId="0" xfId="1" applyNumberFormat="1" applyFont="1" applyFill="1" applyBorder="1" applyAlignment="1"/>
    <xf numFmtId="166" fontId="8" fillId="0" borderId="0" xfId="1" applyNumberFormat="1" applyFont="1" applyFill="1" applyBorder="1" applyAlignment="1"/>
    <xf numFmtId="166" fontId="9" fillId="0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0" fontId="14" fillId="0" borderId="0" xfId="0" applyFont="1"/>
    <xf numFmtId="18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1" applyFont="1" applyFill="1" applyAlignment="1">
      <alignment horizontal="center"/>
    </xf>
    <xf numFmtId="10" fontId="15" fillId="0" borderId="0" xfId="2" applyNumberFormat="1" applyFont="1" applyFill="1" applyBorder="1" applyAlignment="1">
      <alignment horizontal="center"/>
    </xf>
    <xf numFmtId="166" fontId="3" fillId="0" borderId="0" xfId="0" applyNumberFormat="1" applyFont="1" applyBorder="1"/>
    <xf numFmtId="167" fontId="3" fillId="0" borderId="0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/>
    <xf numFmtId="0" fontId="3" fillId="0" borderId="0" xfId="0" applyFont="1" applyBorder="1"/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166" fontId="3" fillId="6" borderId="7" xfId="0" applyNumberFormat="1" applyFont="1" applyFill="1" applyBorder="1" applyAlignment="1">
      <alignment vertical="center"/>
    </xf>
    <xf numFmtId="166" fontId="3" fillId="0" borderId="7" xfId="0" applyNumberFormat="1" applyFont="1" applyBorder="1" applyAlignment="1">
      <alignment vertical="center"/>
    </xf>
    <xf numFmtId="166" fontId="3" fillId="6" borderId="7" xfId="1" applyNumberFormat="1" applyFont="1" applyFill="1" applyBorder="1" applyAlignment="1">
      <alignment vertical="center"/>
    </xf>
    <xf numFmtId="10" fontId="15" fillId="0" borderId="0" xfId="2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7" xfId="0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166" fontId="5" fillId="0" borderId="11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0" fontId="3" fillId="0" borderId="0" xfId="2" applyNumberFormat="1" applyFont="1" applyBorder="1" applyAlignment="1">
      <alignment horizontal="right"/>
    </xf>
    <xf numFmtId="1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/>
    <xf numFmtId="43" fontId="3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19" xfId="1" applyNumberFormat="1" applyFont="1" applyFill="1" applyBorder="1" applyAlignment="1">
      <alignment horizontal="center" vertical="center" wrapText="1"/>
    </xf>
    <xf numFmtId="2" fontId="5" fillId="7" borderId="7" xfId="0" applyNumberFormat="1" applyFont="1" applyFill="1" applyBorder="1" applyAlignment="1">
      <alignment horizontal="center" vertical="center" wrapText="1"/>
    </xf>
    <xf numFmtId="2" fontId="5" fillId="8" borderId="7" xfId="0" applyNumberFormat="1" applyFont="1" applyFill="1" applyBorder="1" applyAlignment="1">
      <alignment horizontal="center" vertical="center" wrapText="1"/>
    </xf>
    <xf numFmtId="2" fontId="5" fillId="9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right"/>
    </xf>
    <xf numFmtId="43" fontId="16" fillId="0" borderId="0" xfId="0" applyNumberFormat="1" applyFont="1" applyFill="1" applyBorder="1" applyAlignment="1">
      <alignment horizontal="center"/>
    </xf>
    <xf numFmtId="43" fontId="16" fillId="0" borderId="0" xfId="1" applyFont="1" applyFill="1" applyBorder="1"/>
    <xf numFmtId="167" fontId="16" fillId="0" borderId="0" xfId="0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43" fontId="16" fillId="0" borderId="0" xfId="1" applyFont="1" applyFill="1" applyAlignment="1">
      <alignment horizontal="right"/>
    </xf>
    <xf numFmtId="0" fontId="16" fillId="0" borderId="0" xfId="0" applyFont="1" applyFill="1" applyBorder="1"/>
    <xf numFmtId="43" fontId="3" fillId="0" borderId="0" xfId="0" applyNumberFormat="1" applyFont="1" applyFill="1"/>
    <xf numFmtId="168" fontId="16" fillId="0" borderId="0" xfId="0" applyNumberFormat="1" applyFont="1" applyFill="1" applyBorder="1"/>
    <xf numFmtId="169" fontId="16" fillId="0" borderId="0" xfId="1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0" fontId="20" fillId="0" borderId="0" xfId="0" applyFont="1"/>
    <xf numFmtId="0" fontId="5" fillId="0" borderId="0" xfId="0" applyFont="1" applyAlignment="1">
      <alignment horizontal="center"/>
    </xf>
    <xf numFmtId="166" fontId="3" fillId="0" borderId="0" xfId="0" applyNumberFormat="1" applyFont="1" applyFill="1" applyAlignment="1">
      <alignment horizontal="right"/>
    </xf>
    <xf numFmtId="0" fontId="5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21" fillId="0" borderId="0" xfId="0" applyFont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0" fontId="22" fillId="0" borderId="0" xfId="0" applyFont="1"/>
    <xf numFmtId="0" fontId="15" fillId="0" borderId="0" xfId="0" applyFont="1"/>
    <xf numFmtId="0" fontId="15" fillId="0" borderId="0" xfId="0" applyFont="1" applyFill="1" applyBorder="1"/>
    <xf numFmtId="43" fontId="21" fillId="0" borderId="0" xfId="1" applyFont="1" applyFill="1" applyBorder="1" applyAlignment="1"/>
    <xf numFmtId="0" fontId="21" fillId="0" borderId="18" xfId="0" applyFont="1" applyBorder="1" applyAlignment="1">
      <alignment horizontal="center" vertical="center" wrapText="1"/>
    </xf>
    <xf numFmtId="166" fontId="15" fillId="0" borderId="7" xfId="0" applyNumberFormat="1" applyFont="1" applyFill="1" applyBorder="1" applyAlignment="1">
      <alignment horizontal="center"/>
    </xf>
    <xf numFmtId="10" fontId="15" fillId="7" borderId="7" xfId="2" applyNumberFormat="1" applyFont="1" applyFill="1" applyBorder="1" applyAlignment="1">
      <alignment horizontal="center"/>
    </xf>
    <xf numFmtId="43" fontId="15" fillId="0" borderId="7" xfId="1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3" fontId="15" fillId="0" borderId="19" xfId="1" applyFont="1" applyFill="1" applyBorder="1" applyAlignment="1">
      <alignment horizontal="center"/>
    </xf>
    <xf numFmtId="10" fontId="21" fillId="7" borderId="7" xfId="2" applyNumberFormat="1" applyFont="1" applyFill="1" applyBorder="1" applyAlignment="1">
      <alignment horizontal="center"/>
    </xf>
    <xf numFmtId="166" fontId="25" fillId="0" borderId="7" xfId="0" applyNumberFormat="1" applyFont="1" applyFill="1" applyBorder="1" applyAlignment="1">
      <alignment horizontal="center"/>
    </xf>
    <xf numFmtId="10" fontId="25" fillId="0" borderId="7" xfId="2" applyNumberFormat="1" applyFont="1" applyFill="1" applyBorder="1" applyAlignment="1">
      <alignment horizontal="center"/>
    </xf>
    <xf numFmtId="43" fontId="15" fillId="0" borderId="0" xfId="1" applyFont="1" applyBorder="1" applyAlignment="1">
      <alignment horizontal="center"/>
    </xf>
    <xf numFmtId="43" fontId="15" fillId="0" borderId="0" xfId="0" applyNumberFormat="1" applyFont="1" applyBorder="1" applyAlignment="1">
      <alignment horizontal="center"/>
    </xf>
    <xf numFmtId="43" fontId="15" fillId="0" borderId="0" xfId="1" applyFont="1" applyFill="1" applyBorder="1" applyAlignment="1">
      <alignment horizontal="center"/>
    </xf>
    <xf numFmtId="10" fontId="21" fillId="0" borderId="0" xfId="2" applyNumberFormat="1" applyFont="1" applyFill="1" applyBorder="1" applyAlignment="1"/>
    <xf numFmtId="170" fontId="3" fillId="0" borderId="0" xfId="2" applyNumberFormat="1" applyFont="1"/>
    <xf numFmtId="0" fontId="27" fillId="0" borderId="0" xfId="0" applyFont="1"/>
    <xf numFmtId="0" fontId="21" fillId="0" borderId="0" xfId="0" applyFont="1" applyAlignment="1">
      <alignment horizontal="center"/>
    </xf>
    <xf numFmtId="49" fontId="6" fillId="0" borderId="0" xfId="0" applyNumberFormat="1" applyFont="1"/>
    <xf numFmtId="0" fontId="5" fillId="0" borderId="20" xfId="0" applyFont="1" applyBorder="1"/>
    <xf numFmtId="10" fontId="5" fillId="7" borderId="20" xfId="2" applyNumberFormat="1" applyFont="1" applyFill="1" applyBorder="1" applyAlignment="1">
      <alignment horizontal="center"/>
    </xf>
    <xf numFmtId="10" fontId="3" fillId="0" borderId="0" xfId="2" applyNumberFormat="1" applyFont="1"/>
    <xf numFmtId="10" fontId="3" fillId="0" borderId="0" xfId="0" applyNumberFormat="1" applyFont="1"/>
    <xf numFmtId="0" fontId="5" fillId="0" borderId="21" xfId="0" applyFont="1" applyBorder="1"/>
    <xf numFmtId="1" fontId="5" fillId="7" borderId="20" xfId="0" applyNumberFormat="1" applyFont="1" applyFill="1" applyBorder="1" applyAlignment="1">
      <alignment horizontal="center"/>
    </xf>
    <xf numFmtId="10" fontId="3" fillId="0" borderId="0" xfId="0" applyNumberFormat="1" applyFont="1" applyFill="1" applyBorder="1"/>
    <xf numFmtId="10" fontId="3" fillId="0" borderId="0" xfId="1" applyNumberFormat="1" applyFont="1" applyFill="1" applyBorder="1"/>
    <xf numFmtId="166" fontId="3" fillId="0" borderId="0" xfId="1" applyNumberFormat="1" applyFont="1"/>
    <xf numFmtId="10" fontId="3" fillId="0" borderId="0" xfId="2" applyNumberFormat="1" applyFont="1" applyFill="1" applyBorder="1"/>
    <xf numFmtId="10" fontId="28" fillId="0" borderId="19" xfId="2" applyNumberFormat="1" applyFont="1" applyFill="1" applyBorder="1"/>
    <xf numFmtId="0" fontId="3" fillId="0" borderId="22" xfId="0" applyFont="1" applyBorder="1"/>
    <xf numFmtId="0" fontId="5" fillId="0" borderId="7" xfId="0" applyFont="1" applyBorder="1" applyAlignment="1">
      <alignment horizontal="right"/>
    </xf>
    <xf numFmtId="49" fontId="6" fillId="0" borderId="7" xfId="1" applyNumberFormat="1" applyFont="1" applyBorder="1" applyAlignment="1">
      <alignment horizontal="right"/>
    </xf>
    <xf numFmtId="1" fontId="29" fillId="0" borderId="0" xfId="0" applyNumberFormat="1" applyFont="1" applyFill="1" applyBorder="1" applyAlignment="1">
      <alignment horizontal="center"/>
    </xf>
    <xf numFmtId="167" fontId="3" fillId="0" borderId="0" xfId="1" applyNumberFormat="1" applyFont="1" applyFill="1" applyBorder="1"/>
    <xf numFmtId="10" fontId="28" fillId="0" borderId="0" xfId="2" applyNumberFormat="1" applyFont="1" applyFill="1" applyBorder="1" applyAlignment="1">
      <alignment horizontal="center"/>
    </xf>
    <xf numFmtId="0" fontId="28" fillId="10" borderId="4" xfId="0" applyFont="1" applyFill="1" applyBorder="1"/>
    <xf numFmtId="0" fontId="3" fillId="10" borderId="5" xfId="0" applyFont="1" applyFill="1" applyBorder="1"/>
    <xf numFmtId="0" fontId="5" fillId="10" borderId="22" xfId="0" applyFont="1" applyFill="1" applyBorder="1" applyAlignment="1">
      <alignment horizontal="right"/>
    </xf>
    <xf numFmtId="1" fontId="5" fillId="10" borderId="7" xfId="0" applyNumberFormat="1" applyFont="1" applyFill="1" applyBorder="1" applyAlignment="1">
      <alignment horizontal="center" vertical="distributed"/>
    </xf>
    <xf numFmtId="166" fontId="28" fillId="0" borderId="0" xfId="1" applyNumberFormat="1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3" fillId="11" borderId="7" xfId="0" applyFont="1" applyFill="1" applyBorder="1"/>
    <xf numFmtId="0" fontId="5" fillId="11" borderId="7" xfId="0" applyFont="1" applyFill="1" applyBorder="1" applyAlignment="1">
      <alignment horizontal="right"/>
    </xf>
    <xf numFmtId="1" fontId="5" fillId="11" borderId="7" xfId="0" applyNumberFormat="1" applyFont="1" applyFill="1" applyBorder="1" applyAlignment="1">
      <alignment horizontal="center" vertical="distributed"/>
    </xf>
    <xf numFmtId="167" fontId="3" fillId="0" borderId="0" xfId="0" applyNumberFormat="1" applyFont="1" applyFill="1" applyBorder="1"/>
    <xf numFmtId="166" fontId="28" fillId="12" borderId="19" xfId="0" applyNumberFormat="1" applyFont="1" applyFill="1" applyBorder="1" applyAlignment="1">
      <alignment horizontal="center"/>
    </xf>
    <xf numFmtId="43" fontId="30" fillId="12" borderId="22" xfId="1" applyFont="1" applyFill="1" applyBorder="1"/>
    <xf numFmtId="43" fontId="5" fillId="12" borderId="22" xfId="1" applyFont="1" applyFill="1" applyBorder="1" applyAlignment="1">
      <alignment horizontal="right"/>
    </xf>
    <xf numFmtId="1" fontId="5" fillId="12" borderId="7" xfId="0" applyNumberFormat="1" applyFont="1" applyFill="1" applyBorder="1" applyAlignment="1">
      <alignment horizontal="center" vertical="distributed"/>
    </xf>
    <xf numFmtId="49" fontId="3" fillId="0" borderId="0" xfId="0" applyNumberFormat="1" applyFont="1" applyFill="1" applyBorder="1"/>
    <xf numFmtId="1" fontId="3" fillId="0" borderId="0" xfId="0" applyNumberFormat="1" applyFont="1" applyAlignment="1">
      <alignment horizontal="center"/>
    </xf>
    <xf numFmtId="0" fontId="3" fillId="0" borderId="19" xfId="0" applyFont="1" applyFill="1" applyBorder="1"/>
    <xf numFmtId="0" fontId="3" fillId="0" borderId="22" xfId="0" applyFont="1" applyFill="1" applyBorder="1"/>
    <xf numFmtId="0" fontId="28" fillId="10" borderId="23" xfId="0" applyFont="1" applyFill="1" applyBorder="1"/>
    <xf numFmtId="0" fontId="3" fillId="10" borderId="0" xfId="0" applyFont="1" applyFill="1" applyBorder="1"/>
    <xf numFmtId="0" fontId="5" fillId="10" borderId="2" xfId="0" applyFont="1" applyFill="1" applyBorder="1" applyAlignment="1">
      <alignment horizontal="right"/>
    </xf>
    <xf numFmtId="49" fontId="15" fillId="0" borderId="0" xfId="0" applyNumberFormat="1" applyFont="1"/>
    <xf numFmtId="0" fontId="28" fillId="8" borderId="19" xfId="0" applyFont="1" applyFill="1" applyBorder="1" applyAlignment="1">
      <alignment horizontal="center"/>
    </xf>
    <xf numFmtId="0" fontId="3" fillId="8" borderId="22" xfId="0" applyFont="1" applyFill="1" applyBorder="1"/>
    <xf numFmtId="0" fontId="5" fillId="8" borderId="9" xfId="0" applyFont="1" applyFill="1" applyBorder="1" applyAlignment="1">
      <alignment horizontal="right"/>
    </xf>
    <xf numFmtId="1" fontId="5" fillId="8" borderId="9" xfId="0" applyNumberFormat="1" applyFont="1" applyFill="1" applyBorder="1" applyAlignment="1">
      <alignment horizontal="center" vertical="distributed"/>
    </xf>
    <xf numFmtId="0" fontId="31" fillId="0" borderId="0" xfId="0" applyFont="1" applyFill="1"/>
    <xf numFmtId="0" fontId="32" fillId="0" borderId="0" xfId="0" applyFont="1" applyFill="1" applyBorder="1"/>
    <xf numFmtId="166" fontId="28" fillId="12" borderId="4" xfId="0" applyNumberFormat="1" applyFont="1" applyFill="1" applyBorder="1" applyAlignment="1">
      <alignment horizontal="center"/>
    </xf>
    <xf numFmtId="43" fontId="30" fillId="12" borderId="0" xfId="1" applyFont="1" applyFill="1" applyBorder="1"/>
    <xf numFmtId="43" fontId="5" fillId="12" borderId="0" xfId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3" fontId="30" fillId="0" borderId="0" xfId="1" applyFont="1" applyFill="1" applyBorder="1"/>
    <xf numFmtId="43" fontId="5" fillId="0" borderId="0" xfId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166" fontId="15" fillId="0" borderId="7" xfId="1" applyNumberFormat="1" applyFont="1" applyFill="1" applyBorder="1"/>
    <xf numFmtId="0" fontId="15" fillId="0" borderId="7" xfId="0" applyFont="1" applyFill="1" applyBorder="1"/>
    <xf numFmtId="0" fontId="33" fillId="0" borderId="7" xfId="0" applyFont="1" applyFill="1" applyBorder="1" applyAlignment="1">
      <alignment horizontal="right"/>
    </xf>
    <xf numFmtId="43" fontId="3" fillId="0" borderId="7" xfId="1" applyFont="1" applyFill="1" applyBorder="1"/>
    <xf numFmtId="0" fontId="16" fillId="0" borderId="7" xfId="0" applyFont="1" applyBorder="1" applyAlignment="1">
      <alignment horizontal="right"/>
    </xf>
    <xf numFmtId="0" fontId="15" fillId="0" borderId="19" xfId="0" applyFont="1" applyBorder="1"/>
    <xf numFmtId="0" fontId="15" fillId="0" borderId="9" xfId="0" applyFont="1" applyBorder="1" applyAlignment="1">
      <alignment horizontal="right"/>
    </xf>
    <xf numFmtId="166" fontId="21" fillId="0" borderId="7" xfId="1" applyNumberFormat="1" applyFont="1" applyFill="1" applyBorder="1"/>
    <xf numFmtId="0" fontId="5" fillId="0" borderId="0" xfId="0" applyFont="1" applyBorder="1" applyAlignment="1">
      <alignment horizontal="right"/>
    </xf>
    <xf numFmtId="166" fontId="15" fillId="0" borderId="0" xfId="1" applyNumberFormat="1" applyFont="1" applyFill="1" applyBorder="1"/>
    <xf numFmtId="166" fontId="21" fillId="0" borderId="0" xfId="1" applyNumberFormat="1" applyFont="1" applyFill="1" applyBorder="1"/>
    <xf numFmtId="0" fontId="34" fillId="0" borderId="24" xfId="0" applyFont="1" applyBorder="1"/>
    <xf numFmtId="166" fontId="15" fillId="0" borderId="0" xfId="1" applyNumberFormat="1" applyFont="1"/>
    <xf numFmtId="43" fontId="34" fillId="0" borderId="7" xfId="1" applyFont="1" applyBorder="1"/>
    <xf numFmtId="43" fontId="21" fillId="0" borderId="0" xfId="1" applyFont="1"/>
    <xf numFmtId="43" fontId="3" fillId="0" borderId="0" xfId="0" applyNumberFormat="1" applyFont="1"/>
    <xf numFmtId="0" fontId="21" fillId="0" borderId="0" xfId="0" applyFont="1" applyBorder="1" applyAlignment="1">
      <alignment horizontal="right"/>
    </xf>
    <xf numFmtId="43" fontId="15" fillId="13" borderId="0" xfId="0" applyNumberFormat="1" applyFont="1" applyFill="1"/>
    <xf numFmtId="43" fontId="3" fillId="0" borderId="0" xfId="1" applyFont="1" applyBorder="1"/>
    <xf numFmtId="0" fontId="5" fillId="0" borderId="25" xfId="0" applyFont="1" applyBorder="1" applyAlignment="1">
      <alignment horizontal="right"/>
    </xf>
    <xf numFmtId="43" fontId="5" fillId="0" borderId="21" xfId="0" applyNumberFormat="1" applyFont="1" applyBorder="1"/>
    <xf numFmtId="43" fontId="15" fillId="0" borderId="0" xfId="0" applyNumberFormat="1" applyFont="1"/>
    <xf numFmtId="0" fontId="3" fillId="0" borderId="26" xfId="0" applyFont="1" applyFill="1" applyBorder="1" applyAlignment="1">
      <alignment horizontal="right"/>
    </xf>
    <xf numFmtId="167" fontId="5" fillId="13" borderId="14" xfId="1" applyNumberFormat="1" applyFont="1" applyFill="1" applyBorder="1"/>
    <xf numFmtId="171" fontId="15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9" fontId="3" fillId="0" borderId="0" xfId="2" applyFont="1" applyFill="1" applyBorder="1"/>
    <xf numFmtId="49" fontId="3" fillId="5" borderId="20" xfId="0" applyNumberFormat="1" applyFont="1" applyFill="1" applyBorder="1"/>
    <xf numFmtId="49" fontId="3" fillId="5" borderId="27" xfId="0" applyNumberFormat="1" applyFont="1" applyFill="1" applyBorder="1"/>
    <xf numFmtId="49" fontId="3" fillId="5" borderId="28" xfId="0" applyNumberFormat="1" applyFont="1" applyFill="1" applyBorder="1" applyAlignment="1">
      <alignment horizontal="right"/>
    </xf>
    <xf numFmtId="0" fontId="3" fillId="0" borderId="29" xfId="0" applyFont="1" applyBorder="1"/>
    <xf numFmtId="49" fontId="3" fillId="5" borderId="30" xfId="0" applyNumberFormat="1" applyFont="1" applyFill="1" applyBorder="1"/>
    <xf numFmtId="166" fontId="3" fillId="5" borderId="0" xfId="0" applyNumberFormat="1" applyFont="1" applyFill="1" applyBorder="1"/>
    <xf numFmtId="2" fontId="3" fillId="5" borderId="0" xfId="0" applyNumberFormat="1" applyFont="1" applyFill="1" applyBorder="1"/>
    <xf numFmtId="10" fontId="3" fillId="5" borderId="0" xfId="0" applyNumberFormat="1" applyFont="1" applyFill="1" applyBorder="1"/>
    <xf numFmtId="1" fontId="3" fillId="5" borderId="0" xfId="0" applyNumberFormat="1" applyFont="1" applyFill="1" applyBorder="1" applyAlignment="1">
      <alignment horizontal="center"/>
    </xf>
    <xf numFmtId="0" fontId="3" fillId="0" borderId="31" xfId="0" applyFont="1" applyBorder="1"/>
    <xf numFmtId="49" fontId="3" fillId="5" borderId="24" xfId="0" applyNumberFormat="1" applyFont="1" applyFill="1" applyBorder="1"/>
    <xf numFmtId="10" fontId="3" fillId="5" borderId="31" xfId="0" applyNumberFormat="1" applyFont="1" applyFill="1" applyBorder="1" applyAlignment="1">
      <alignment horizontal="center"/>
    </xf>
    <xf numFmtId="0" fontId="37" fillId="0" borderId="0" xfId="0" applyFont="1" applyFill="1" applyBorder="1"/>
    <xf numFmtId="49" fontId="3" fillId="5" borderId="7" xfId="0" applyNumberFormat="1" applyFont="1" applyFill="1" applyBorder="1" applyAlignment="1">
      <alignment horizontal="center"/>
    </xf>
    <xf numFmtId="49" fontId="3" fillId="5" borderId="19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24" xfId="0" applyFont="1" applyFill="1" applyBorder="1"/>
    <xf numFmtId="0" fontId="3" fillId="5" borderId="7" xfId="0" applyFont="1" applyFill="1" applyBorder="1" applyAlignment="1">
      <alignment horizontal="center"/>
    </xf>
    <xf numFmtId="49" fontId="3" fillId="5" borderId="26" xfId="0" applyNumberFormat="1" applyFont="1" applyFill="1" applyBorder="1"/>
    <xf numFmtId="0" fontId="3" fillId="5" borderId="25" xfId="0" applyFont="1" applyFill="1" applyBorder="1"/>
    <xf numFmtId="0" fontId="3" fillId="5" borderId="33" xfId="0" applyFont="1" applyFill="1" applyBorder="1"/>
    <xf numFmtId="49" fontId="5" fillId="5" borderId="7" xfId="0" applyNumberFormat="1" applyFont="1" applyFill="1" applyBorder="1" applyAlignment="1">
      <alignment horizontal="center" vertical="distributed"/>
    </xf>
    <xf numFmtId="0" fontId="5" fillId="5" borderId="7" xfId="0" applyFont="1" applyFill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172" fontId="3" fillId="0" borderId="7" xfId="1" applyNumberFormat="1" applyFont="1" applyBorder="1" applyAlignment="1">
      <alignment horizontal="center" vertical="distributed"/>
    </xf>
    <xf numFmtId="0" fontId="40" fillId="0" borderId="0" xfId="0" applyFont="1" applyAlignment="1">
      <alignment horizontal="right"/>
    </xf>
    <xf numFmtId="1" fontId="40" fillId="0" borderId="0" xfId="0" applyNumberFormat="1" applyFont="1"/>
    <xf numFmtId="0" fontId="5" fillId="0" borderId="0" xfId="0" applyFont="1" applyFill="1" applyBorder="1" applyAlignment="1">
      <alignment horizontal="center" vertical="distributed"/>
    </xf>
    <xf numFmtId="172" fontId="3" fillId="0" borderId="0" xfId="1" applyNumberFormat="1" applyFont="1" applyFill="1" applyBorder="1" applyAlignment="1">
      <alignment horizontal="center" vertical="distributed"/>
    </xf>
    <xf numFmtId="0" fontId="44" fillId="14" borderId="21" xfId="0" applyFont="1" applyFill="1" applyBorder="1" applyAlignment="1">
      <alignment horizontal="left" vertical="center" wrapText="1"/>
    </xf>
    <xf numFmtId="0" fontId="45" fillId="14" borderId="21" xfId="0" applyFont="1" applyFill="1" applyBorder="1" applyAlignment="1">
      <alignment horizontal="center" vertical="center" wrapText="1"/>
    </xf>
    <xf numFmtId="0" fontId="45" fillId="14" borderId="33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3" fontId="46" fillId="0" borderId="36" xfId="0" applyNumberFormat="1" applyFont="1" applyBorder="1" applyAlignment="1">
      <alignment horizontal="center" vertical="center"/>
    </xf>
    <xf numFmtId="173" fontId="46" fillId="0" borderId="32" xfId="0" applyNumberFormat="1" applyFont="1" applyBorder="1" applyAlignment="1">
      <alignment horizontal="center" vertical="center"/>
    </xf>
    <xf numFmtId="173" fontId="46" fillId="0" borderId="40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73" fontId="17" fillId="0" borderId="36" xfId="1" applyNumberFormat="1" applyFont="1" applyBorder="1" applyAlignment="1">
      <alignment horizontal="center" vertical="center"/>
    </xf>
    <xf numFmtId="173" fontId="17" fillId="0" borderId="40" xfId="1" applyNumberFormat="1" applyFont="1" applyBorder="1" applyAlignment="1">
      <alignment horizontal="center" vertical="center"/>
    </xf>
    <xf numFmtId="173" fontId="17" fillId="0" borderId="32" xfId="1" applyNumberFormat="1" applyFont="1" applyBorder="1" applyAlignment="1">
      <alignment horizontal="center" vertical="center"/>
    </xf>
    <xf numFmtId="0" fontId="0" fillId="0" borderId="0" xfId="0" applyBorder="1"/>
    <xf numFmtId="0" fontId="47" fillId="14" borderId="13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distributed"/>
    </xf>
    <xf numFmtId="0" fontId="43" fillId="0" borderId="0" xfId="0" applyFont="1" applyFill="1" applyBorder="1" applyAlignment="1">
      <alignment vertical="distributed"/>
    </xf>
    <xf numFmtId="0" fontId="5" fillId="0" borderId="0" xfId="0" applyFont="1" applyFill="1" applyBorder="1" applyAlignment="1">
      <alignment vertical="distributed"/>
    </xf>
    <xf numFmtId="0" fontId="7" fillId="14" borderId="0" xfId="0" applyFont="1" applyFill="1"/>
    <xf numFmtId="0" fontId="0" fillId="14" borderId="0" xfId="0" applyFill="1"/>
    <xf numFmtId="0" fontId="7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173" fontId="46" fillId="0" borderId="1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9" fillId="0" borderId="7" xfId="0" applyFont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43" fontId="51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71" fontId="3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5" fillId="0" borderId="2" xfId="1" applyFont="1" applyFill="1" applyBorder="1" applyAlignment="1"/>
    <xf numFmtId="43" fontId="5" fillId="0" borderId="3" xfId="1" applyFont="1" applyFill="1" applyBorder="1" applyAlignment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" fontId="3" fillId="0" borderId="23" xfId="0" applyNumberFormat="1" applyFont="1" applyFill="1" applyBorder="1" applyAlignment="1">
      <alignment horizontal="center"/>
    </xf>
    <xf numFmtId="171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5" fillId="0" borderId="0" xfId="1" applyFont="1" applyFill="1" applyBorder="1" applyAlignment="1"/>
    <xf numFmtId="43" fontId="5" fillId="0" borderId="10" xfId="1" applyFont="1" applyFill="1" applyBorder="1" applyAlignment="1"/>
    <xf numFmtId="10" fontId="3" fillId="0" borderId="23" xfId="2" applyNumberFormat="1" applyFont="1" applyFill="1" applyBorder="1"/>
    <xf numFmtId="0" fontId="3" fillId="0" borderId="10" xfId="0" applyFont="1" applyBorder="1"/>
    <xf numFmtId="2" fontId="3" fillId="0" borderId="23" xfId="1" applyNumberFormat="1" applyFont="1" applyFill="1" applyBorder="1" applyAlignment="1">
      <alignment horizontal="center"/>
    </xf>
    <xf numFmtId="0" fontId="3" fillId="0" borderId="10" xfId="0" applyFont="1" applyFill="1" applyBorder="1"/>
    <xf numFmtId="174" fontId="3" fillId="0" borderId="23" xfId="0" applyNumberFormat="1" applyFont="1" applyBorder="1"/>
    <xf numFmtId="0" fontId="3" fillId="0" borderId="0" xfId="0" applyFont="1" applyFill="1" applyBorder="1" applyAlignment="1">
      <alignment horizontal="left"/>
    </xf>
    <xf numFmtId="170" fontId="3" fillId="0" borderId="23" xfId="2" applyNumberFormat="1" applyFont="1" applyFill="1" applyBorder="1" applyAlignment="1">
      <alignment horizontal="center"/>
    </xf>
    <xf numFmtId="167" fontId="5" fillId="0" borderId="23" xfId="1" applyNumberFormat="1" applyFont="1" applyFill="1" applyBorder="1"/>
    <xf numFmtId="173" fontId="3" fillId="0" borderId="23" xfId="0" applyNumberFormat="1" applyFont="1" applyFill="1" applyBorder="1" applyAlignment="1">
      <alignment horizontal="center"/>
    </xf>
    <xf numFmtId="168" fontId="3" fillId="7" borderId="23" xfId="1" applyNumberFormat="1" applyFont="1" applyFill="1" applyBorder="1"/>
    <xf numFmtId="0" fontId="5" fillId="0" borderId="0" xfId="0" applyFont="1" applyFill="1" applyBorder="1" applyAlignment="1">
      <alignment horizontal="left"/>
    </xf>
    <xf numFmtId="10" fontId="3" fillId="4" borderId="23" xfId="2" applyNumberFormat="1" applyFont="1" applyFill="1" applyBorder="1" applyAlignment="1">
      <alignment horizontal="center"/>
    </xf>
    <xf numFmtId="171" fontId="3" fillId="0" borderId="0" xfId="0" applyNumberFormat="1" applyFont="1" applyBorder="1"/>
    <xf numFmtId="10" fontId="55" fillId="0" borderId="23" xfId="0" applyNumberFormat="1" applyFont="1" applyBorder="1"/>
    <xf numFmtId="0" fontId="56" fillId="0" borderId="0" xfId="0" applyFont="1" applyBorder="1"/>
    <xf numFmtId="10" fontId="3" fillId="0" borderId="4" xfId="2" applyNumberFormat="1" applyFont="1" applyBorder="1" applyAlignment="1">
      <alignment horizontal="center"/>
    </xf>
    <xf numFmtId="0" fontId="56" fillId="0" borderId="5" xfId="0" applyFont="1" applyBorder="1"/>
    <xf numFmtId="0" fontId="3" fillId="0" borderId="5" xfId="0" applyFont="1" applyBorder="1"/>
    <xf numFmtId="175" fontId="3" fillId="0" borderId="5" xfId="0" applyNumberFormat="1" applyFont="1" applyBorder="1"/>
    <xf numFmtId="0" fontId="3" fillId="0" borderId="6" xfId="0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2" fontId="3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Border="1"/>
    <xf numFmtId="43" fontId="5" fillId="0" borderId="23" xfId="1" applyFont="1" applyFill="1" applyBorder="1" applyAlignment="1">
      <alignment horizontal="left"/>
    </xf>
    <xf numFmtId="0" fontId="30" fillId="0" borderId="0" xfId="0" applyFont="1" applyFill="1" applyBorder="1"/>
    <xf numFmtId="43" fontId="3" fillId="0" borderId="0" xfId="1" applyFont="1" applyFill="1" applyBorder="1" applyAlignment="1"/>
    <xf numFmtId="0" fontId="3" fillId="0" borderId="23" xfId="0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5" fillId="0" borderId="5" xfId="1" applyFont="1" applyFill="1" applyBorder="1" applyAlignment="1"/>
    <xf numFmtId="43" fontId="5" fillId="0" borderId="18" xfId="1" applyFont="1" applyFill="1" applyBorder="1" applyAlignment="1">
      <alignment horizontal="center" vertical="distributed"/>
    </xf>
    <xf numFmtId="43" fontId="5" fillId="0" borderId="18" xfId="1" applyFont="1" applyBorder="1" applyAlignment="1">
      <alignment horizontal="center" vertical="distributed"/>
    </xf>
    <xf numFmtId="170" fontId="5" fillId="0" borderId="7" xfId="2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 vertical="distributed"/>
    </xf>
    <xf numFmtId="0" fontId="21" fillId="0" borderId="7" xfId="0" applyFont="1" applyBorder="1" applyAlignment="1">
      <alignment horizontal="center" vertical="distributed"/>
    </xf>
    <xf numFmtId="10" fontId="21" fillId="8" borderId="7" xfId="2" applyNumberFormat="1" applyFont="1" applyFill="1" applyBorder="1" applyAlignment="1">
      <alignment horizontal="center"/>
    </xf>
    <xf numFmtId="10" fontId="21" fillId="9" borderId="7" xfId="2" applyNumberFormat="1" applyFont="1" applyFill="1" applyBorder="1" applyAlignment="1">
      <alignment horizontal="center"/>
    </xf>
    <xf numFmtId="0" fontId="15" fillId="0" borderId="0" xfId="0" applyFont="1" applyFill="1"/>
    <xf numFmtId="10" fontId="5" fillId="9" borderId="20" xfId="2" applyNumberFormat="1" applyFont="1" applyFill="1" applyBorder="1" applyAlignment="1">
      <alignment horizontal="center"/>
    </xf>
    <xf numFmtId="10" fontId="5" fillId="8" borderId="21" xfId="2" applyNumberFormat="1" applyFont="1" applyFill="1" applyBorder="1" applyAlignment="1">
      <alignment horizontal="center"/>
    </xf>
    <xf numFmtId="1" fontId="5" fillId="9" borderId="20" xfId="0" applyNumberFormat="1" applyFont="1" applyFill="1" applyBorder="1" applyAlignment="1">
      <alignment horizontal="center"/>
    </xf>
    <xf numFmtId="1" fontId="5" fillId="8" borderId="21" xfId="0" applyNumberFormat="1" applyFont="1" applyFill="1" applyBorder="1" applyAlignment="1">
      <alignment horizontal="center"/>
    </xf>
    <xf numFmtId="1" fontId="3" fillId="0" borderId="0" xfId="0" applyNumberFormat="1" applyFont="1"/>
    <xf numFmtId="1" fontId="5" fillId="8" borderId="7" xfId="0" applyNumberFormat="1" applyFont="1" applyFill="1" applyBorder="1" applyAlignment="1">
      <alignment horizontal="center" vertical="distributed"/>
    </xf>
    <xf numFmtId="166" fontId="21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73" fontId="46" fillId="0" borderId="0" xfId="0" applyNumberFormat="1" applyFont="1" applyBorder="1" applyAlignment="1">
      <alignment horizontal="center" vertical="center"/>
    </xf>
    <xf numFmtId="0" fontId="60" fillId="0" borderId="0" xfId="0" applyFont="1" applyBorder="1" applyAlignment="1">
      <alignment horizontal="left" vertical="distributed"/>
    </xf>
    <xf numFmtId="0" fontId="44" fillId="0" borderId="30" xfId="0" applyFont="1" applyFill="1" applyBorder="1" applyAlignment="1">
      <alignment horizontal="right"/>
    </xf>
    <xf numFmtId="0" fontId="44" fillId="0" borderId="41" xfId="0" applyFont="1" applyBorder="1"/>
    <xf numFmtId="0" fontId="44" fillId="0" borderId="41" xfId="0" applyFont="1" applyBorder="1" applyAlignment="1">
      <alignment horizontal="left"/>
    </xf>
    <xf numFmtId="0" fontId="44" fillId="0" borderId="29" xfId="0" applyFont="1" applyBorder="1"/>
    <xf numFmtId="0" fontId="44" fillId="0" borderId="0" xfId="0" applyFont="1"/>
    <xf numFmtId="10" fontId="44" fillId="0" borderId="0" xfId="2" applyNumberFormat="1" applyFont="1"/>
    <xf numFmtId="1" fontId="44" fillId="0" borderId="0" xfId="0" applyNumberFormat="1" applyFont="1"/>
    <xf numFmtId="0" fontId="44" fillId="0" borderId="0" xfId="0" applyFont="1" applyFill="1"/>
    <xf numFmtId="0" fontId="44" fillId="0" borderId="24" xfId="0" applyFont="1" applyBorder="1" applyAlignment="1">
      <alignment horizontal="right" vertical="center"/>
    </xf>
    <xf numFmtId="170" fontId="44" fillId="6" borderId="7" xfId="0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2" fontId="44" fillId="6" borderId="7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49" fontId="44" fillId="0" borderId="0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right" vertical="center"/>
    </xf>
    <xf numFmtId="170" fontId="44" fillId="4" borderId="32" xfId="2" applyNumberFormat="1" applyFont="1" applyFill="1" applyBorder="1" applyAlignment="1">
      <alignment vertical="center"/>
    </xf>
    <xf numFmtId="0" fontId="44" fillId="0" borderId="24" xfId="0" applyFont="1" applyFill="1" applyBorder="1" applyAlignment="1">
      <alignment horizontal="right" vertical="center"/>
    </xf>
    <xf numFmtId="43" fontId="44" fillId="6" borderId="7" xfId="1" applyFont="1" applyFill="1" applyBorder="1" applyAlignment="1">
      <alignment horizontal="center" vertical="center"/>
    </xf>
    <xf numFmtId="0" fontId="44" fillId="0" borderId="31" xfId="0" applyFont="1" applyBorder="1" applyAlignment="1">
      <alignment vertical="center"/>
    </xf>
    <xf numFmtId="0" fontId="44" fillId="0" borderId="26" xfId="0" applyFont="1" applyBorder="1" applyAlignment="1">
      <alignment horizontal="right"/>
    </xf>
    <xf numFmtId="170" fontId="44" fillId="4" borderId="39" xfId="2" applyNumberFormat="1" applyFont="1" applyFill="1" applyBorder="1" applyAlignment="1">
      <alignment horizontal="right" vertical="center"/>
    </xf>
    <xf numFmtId="0" fontId="44" fillId="0" borderId="25" xfId="0" applyFont="1" applyBorder="1" applyAlignment="1">
      <alignment vertical="center"/>
    </xf>
    <xf numFmtId="0" fontId="44" fillId="0" borderId="33" xfId="0" applyFont="1" applyBorder="1" applyAlignment="1">
      <alignment vertical="center"/>
    </xf>
    <xf numFmtId="0" fontId="44" fillId="0" borderId="0" xfId="0" applyFont="1" applyFill="1" applyBorder="1" applyAlignment="1">
      <alignment horizontal="right"/>
    </xf>
    <xf numFmtId="176" fontId="45" fillId="0" borderId="0" xfId="0" applyNumberFormat="1" applyFont="1" applyFill="1" applyBorder="1" applyAlignment="1">
      <alignment horizontal="right"/>
    </xf>
    <xf numFmtId="0" fontId="45" fillId="0" borderId="0" xfId="0" applyFont="1" applyFill="1" applyBorder="1"/>
    <xf numFmtId="0" fontId="44" fillId="0" borderId="0" xfId="0" applyFont="1" applyFill="1" applyAlignment="1">
      <alignment horizontal="right"/>
    </xf>
    <xf numFmtId="0" fontId="63" fillId="0" borderId="0" xfId="0" applyFont="1"/>
    <xf numFmtId="0" fontId="45" fillId="0" borderId="0" xfId="0" applyFont="1"/>
    <xf numFmtId="0" fontId="44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32" fillId="0" borderId="0" xfId="0" applyFont="1"/>
    <xf numFmtId="0" fontId="45" fillId="0" borderId="42" xfId="0" applyFont="1" applyFill="1" applyBorder="1" applyAlignment="1">
      <alignment vertical="center"/>
    </xf>
    <xf numFmtId="10" fontId="44" fillId="14" borderId="11" xfId="2" applyNumberFormat="1" applyFont="1" applyFill="1" applyBorder="1" applyAlignment="1">
      <alignment horizontal="right" vertical="center"/>
    </xf>
    <xf numFmtId="0" fontId="45" fillId="0" borderId="11" xfId="0" applyFont="1" applyBorder="1" applyAlignment="1">
      <alignment vertical="center"/>
    </xf>
    <xf numFmtId="175" fontId="44" fillId="0" borderId="43" xfId="0" applyNumberFormat="1" applyFont="1" applyBorder="1" applyAlignment="1">
      <alignment horizontal="right" vertical="center"/>
    </xf>
    <xf numFmtId="43" fontId="32" fillId="0" borderId="0" xfId="1" applyFont="1"/>
    <xf numFmtId="170" fontId="44" fillId="0" borderId="0" xfId="2" applyNumberFormat="1" applyFont="1"/>
    <xf numFmtId="0" fontId="45" fillId="0" borderId="37" xfId="0" applyFont="1" applyFill="1" applyBorder="1" applyAlignment="1">
      <alignment vertical="center"/>
    </xf>
    <xf numFmtId="10" fontId="44" fillId="14" borderId="7" xfId="2" applyNumberFormat="1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175" fontId="44" fillId="0" borderId="32" xfId="0" applyNumberFormat="1" applyFont="1" applyBorder="1" applyAlignment="1">
      <alignment horizontal="right" vertical="center"/>
    </xf>
    <xf numFmtId="0" fontId="44" fillId="0" borderId="37" xfId="0" applyFont="1" applyFill="1" applyBorder="1" applyAlignment="1">
      <alignment vertical="center"/>
    </xf>
    <xf numFmtId="175" fontId="44" fillId="0" borderId="7" xfId="0" applyNumberFormat="1" applyFont="1" applyBorder="1" applyAlignment="1">
      <alignment horizontal="right" vertical="center"/>
    </xf>
    <xf numFmtId="43" fontId="32" fillId="0" borderId="0" xfId="0" applyNumberFormat="1" applyFont="1"/>
    <xf numFmtId="0" fontId="44" fillId="0" borderId="37" xfId="0" applyFont="1" applyBorder="1" applyAlignment="1">
      <alignment vertical="center"/>
    </xf>
    <xf numFmtId="9" fontId="44" fillId="6" borderId="7" xfId="2" applyFont="1" applyFill="1" applyBorder="1" applyAlignment="1">
      <alignment horizontal="right" vertical="center"/>
    </xf>
    <xf numFmtId="49" fontId="44" fillId="0" borderId="37" xfId="0" applyNumberFormat="1" applyFont="1" applyFill="1" applyBorder="1" applyAlignment="1">
      <alignment vertical="center"/>
    </xf>
    <xf numFmtId="0" fontId="67" fillId="0" borderId="19" xfId="0" applyFont="1" applyBorder="1"/>
    <xf numFmtId="0" fontId="32" fillId="0" borderId="22" xfId="0" applyFont="1" applyBorder="1"/>
    <xf numFmtId="0" fontId="32" fillId="0" borderId="9" xfId="0" applyFont="1" applyBorder="1"/>
    <xf numFmtId="10" fontId="44" fillId="2" borderId="7" xfId="2" applyNumberFormat="1" applyFont="1" applyFill="1" applyBorder="1" applyAlignment="1">
      <alignment horizontal="right" vertical="center"/>
    </xf>
    <xf numFmtId="2" fontId="44" fillId="0" borderId="37" xfId="0" applyNumberFormat="1" applyFont="1" applyFill="1" applyBorder="1" applyAlignment="1">
      <alignment vertical="center"/>
    </xf>
    <xf numFmtId="178" fontId="68" fillId="0" borderId="11" xfId="0" applyNumberFormat="1" applyFont="1" applyBorder="1"/>
    <xf numFmtId="0" fontId="68" fillId="0" borderId="7" xfId="0" applyFont="1" applyBorder="1"/>
    <xf numFmtId="179" fontId="44" fillId="0" borderId="7" xfId="0" applyNumberFormat="1" applyFont="1" applyBorder="1" applyAlignment="1">
      <alignment horizontal="right" vertical="center"/>
    </xf>
    <xf numFmtId="178" fontId="68" fillId="0" borderId="7" xfId="0" applyNumberFormat="1" applyFont="1" applyBorder="1"/>
    <xf numFmtId="0" fontId="68" fillId="0" borderId="18" xfId="0" applyFont="1" applyBorder="1"/>
    <xf numFmtId="0" fontId="32" fillId="0" borderId="3" xfId="0" applyFont="1" applyBorder="1"/>
    <xf numFmtId="179" fontId="44" fillId="0" borderId="7" xfId="0" applyNumberFormat="1" applyFont="1" applyBorder="1" applyAlignment="1">
      <alignment vertical="center"/>
    </xf>
    <xf numFmtId="178" fontId="67" fillId="0" borderId="19" xfId="0" applyNumberFormat="1" applyFont="1" applyBorder="1"/>
    <xf numFmtId="0" fontId="44" fillId="0" borderId="37" xfId="0" applyFont="1" applyBorder="1" applyAlignment="1">
      <alignment horizontal="right" vertical="center"/>
    </xf>
    <xf numFmtId="176" fontId="45" fillId="4" borderId="7" xfId="0" applyNumberFormat="1" applyFont="1" applyFill="1" applyBorder="1" applyAlignment="1">
      <alignment horizontal="right" vertical="center"/>
    </xf>
    <xf numFmtId="0" fontId="45" fillId="0" borderId="0" xfId="0" applyFont="1" applyBorder="1" applyAlignment="1">
      <alignment vertical="center"/>
    </xf>
    <xf numFmtId="0" fontId="44" fillId="0" borderId="38" xfId="0" applyFont="1" applyBorder="1" applyAlignment="1">
      <alignment horizontal="right" vertical="center"/>
    </xf>
    <xf numFmtId="176" fontId="45" fillId="4" borderId="39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vertical="center"/>
    </xf>
    <xf numFmtId="10" fontId="44" fillId="0" borderId="0" xfId="2" applyNumberFormat="1" applyFont="1" applyAlignment="1">
      <alignment vertical="center"/>
    </xf>
    <xf numFmtId="10" fontId="44" fillId="0" borderId="0" xfId="0" applyNumberFormat="1" applyFont="1"/>
    <xf numFmtId="176" fontId="44" fillId="0" borderId="0" xfId="0" applyNumberFormat="1" applyFont="1"/>
    <xf numFmtId="0" fontId="44" fillId="0" borderId="0" xfId="0" applyFont="1" applyAlignment="1">
      <alignment horizontal="right" vertical="center"/>
    </xf>
    <xf numFmtId="170" fontId="44" fillId="6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49" fillId="0" borderId="0" xfId="0" applyFont="1" applyAlignment="1">
      <alignment horizontal="right"/>
    </xf>
    <xf numFmtId="0" fontId="49" fillId="0" borderId="0" xfId="0" applyFont="1"/>
    <xf numFmtId="43" fontId="69" fillId="0" borderId="0" xfId="1" applyFont="1" applyFill="1" applyBorder="1" applyAlignment="1">
      <alignment horizontal="center" vertical="distributed"/>
    </xf>
    <xf numFmtId="0" fontId="69" fillId="0" borderId="0" xfId="0" applyFont="1" applyFill="1" applyBorder="1" applyAlignment="1">
      <alignment horizontal="center" vertical="distributed"/>
    </xf>
    <xf numFmtId="0" fontId="70" fillId="0" borderId="0" xfId="0" applyFont="1" applyFill="1" applyBorder="1" applyAlignment="1">
      <alignment horizontal="center" vertical="distributed"/>
    </xf>
    <xf numFmtId="10" fontId="0" fillId="0" borderId="0" xfId="2" applyNumberFormat="1" applyFont="1"/>
    <xf numFmtId="43" fontId="69" fillId="0" borderId="0" xfId="1" applyFont="1" applyFill="1" applyBorder="1"/>
    <xf numFmtId="43" fontId="69" fillId="0" borderId="0" xfId="0" applyNumberFormat="1" applyFont="1" applyFill="1" applyBorder="1"/>
    <xf numFmtId="165" fontId="69" fillId="0" borderId="0" xfId="0" applyNumberFormat="1" applyFont="1" applyFill="1" applyBorder="1"/>
    <xf numFmtId="10" fontId="70" fillId="0" borderId="0" xfId="2" applyNumberFormat="1" applyFont="1" applyFill="1" applyBorder="1"/>
    <xf numFmtId="43" fontId="0" fillId="0" borderId="0" xfId="1" applyFont="1"/>
    <xf numFmtId="10" fontId="0" fillId="0" borderId="28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10" fontId="0" fillId="0" borderId="39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73" fontId="57" fillId="0" borderId="36" xfId="1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50" fillId="0" borderId="7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0" xfId="0" applyFont="1" applyBorder="1"/>
    <xf numFmtId="0" fontId="3" fillId="0" borderId="27" xfId="0" applyFont="1" applyBorder="1"/>
    <xf numFmtId="0" fontId="3" fillId="0" borderId="34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0" borderId="19" xfId="0" applyFont="1" applyBorder="1"/>
    <xf numFmtId="0" fontId="3" fillId="0" borderId="22" xfId="0" applyFont="1" applyBorder="1" applyAlignment="1">
      <alignment horizontal="right"/>
    </xf>
    <xf numFmtId="1" fontId="3" fillId="4" borderId="22" xfId="1" applyNumberFormat="1" applyFont="1" applyFill="1" applyBorder="1" applyAlignment="1">
      <alignment horizontal="center"/>
    </xf>
    <xf numFmtId="0" fontId="3" fillId="0" borderId="9" xfId="0" applyFont="1" applyBorder="1"/>
    <xf numFmtId="0" fontId="5" fillId="14" borderId="8" xfId="0" applyFont="1" applyFill="1" applyBorder="1" applyAlignment="1">
      <alignment horizontal="left" vertical="top" wrapText="1"/>
    </xf>
    <xf numFmtId="0" fontId="3" fillId="14" borderId="8" xfId="0" applyFont="1" applyFill="1" applyBorder="1" applyAlignment="1">
      <alignment horizontal="left" wrapText="1"/>
    </xf>
    <xf numFmtId="0" fontId="3" fillId="14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3" fillId="14" borderId="0" xfId="0" applyFont="1" applyFill="1" applyBorder="1" applyAlignment="1">
      <alignment vertical="center"/>
    </xf>
    <xf numFmtId="0" fontId="5" fillId="14" borderId="8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3" fillId="14" borderId="0" xfId="0" applyFont="1" applyFill="1"/>
    <xf numFmtId="0" fontId="3" fillId="14" borderId="0" xfId="0" applyFont="1" applyFill="1" applyBorder="1"/>
    <xf numFmtId="0" fontId="3" fillId="14" borderId="7" xfId="0" applyFont="1" applyFill="1" applyBorder="1" applyAlignment="1">
      <alignment vertical="center" wrapText="1"/>
    </xf>
    <xf numFmtId="2" fontId="3" fillId="14" borderId="7" xfId="0" applyNumberFormat="1" applyFont="1" applyFill="1" applyBorder="1" applyAlignment="1">
      <alignment horizontal="center" vertical="center"/>
    </xf>
    <xf numFmtId="164" fontId="3" fillId="14" borderId="7" xfId="0" applyNumberFormat="1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vertical="center" wrapText="1"/>
    </xf>
    <xf numFmtId="2" fontId="3" fillId="14" borderId="0" xfId="0" applyNumberFormat="1" applyFont="1" applyFill="1" applyBorder="1" applyAlignment="1">
      <alignment horizontal="center" vertical="center"/>
    </xf>
    <xf numFmtId="164" fontId="3" fillId="14" borderId="0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79" fillId="2" borderId="7" xfId="0" applyNumberFormat="1" applyFont="1" applyFill="1" applyBorder="1" applyAlignment="1">
      <alignment horizontal="center" vertical="center"/>
    </xf>
    <xf numFmtId="10" fontId="78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75" fillId="2" borderId="28" xfId="0" applyNumberFormat="1" applyFont="1" applyFill="1" applyBorder="1" applyAlignment="1">
      <alignment horizontal="center" vertical="center"/>
    </xf>
    <xf numFmtId="0" fontId="78" fillId="0" borderId="37" xfId="0" applyFont="1" applyBorder="1" applyAlignment="1">
      <alignment horizontal="right" vertical="center" wrapText="1"/>
    </xf>
    <xf numFmtId="173" fontId="78" fillId="0" borderId="32" xfId="0" applyNumberFormat="1" applyFont="1" applyBorder="1" applyAlignment="1">
      <alignment horizontal="center" vertical="center"/>
    </xf>
    <xf numFmtId="0" fontId="78" fillId="0" borderId="37" xfId="0" applyFont="1" applyBorder="1" applyAlignment="1">
      <alignment horizontal="right" vertical="center"/>
    </xf>
    <xf numFmtId="0" fontId="78" fillId="0" borderId="38" xfId="0" applyFont="1" applyBorder="1" applyAlignment="1">
      <alignment horizontal="right" vertical="center"/>
    </xf>
    <xf numFmtId="49" fontId="79" fillId="2" borderId="39" xfId="0" applyNumberFormat="1" applyFont="1" applyFill="1" applyBorder="1" applyAlignment="1">
      <alignment horizontal="center" vertical="center"/>
    </xf>
    <xf numFmtId="10" fontId="78" fillId="0" borderId="39" xfId="0" applyNumberFormat="1" applyFont="1" applyBorder="1" applyAlignment="1">
      <alignment horizontal="center" vertical="center"/>
    </xf>
    <xf numFmtId="173" fontId="78" fillId="0" borderId="40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78" fillId="0" borderId="7" xfId="0" applyNumberFormat="1" applyFont="1" applyBorder="1" applyAlignment="1">
      <alignment horizontal="center" vertical="center"/>
    </xf>
    <xf numFmtId="49" fontId="78" fillId="0" borderId="39" xfId="0" applyNumberFormat="1" applyFont="1" applyBorder="1" applyAlignment="1">
      <alignment horizontal="center" vertical="center"/>
    </xf>
    <xf numFmtId="49" fontId="74" fillId="2" borderId="28" xfId="0" applyNumberFormat="1" applyFont="1" applyFill="1" applyBorder="1" applyAlignment="1">
      <alignment horizontal="center" vertical="center"/>
    </xf>
    <xf numFmtId="49" fontId="74" fillId="2" borderId="7" xfId="0" applyNumberFormat="1" applyFont="1" applyFill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47" fillId="14" borderId="15" xfId="0" applyFont="1" applyFill="1" applyBorder="1" applyAlignment="1">
      <alignment horizontal="center" vertical="center" wrapText="1"/>
    </xf>
    <xf numFmtId="0" fontId="47" fillId="14" borderId="17" xfId="0" applyFont="1" applyFill="1" applyBorder="1" applyAlignment="1">
      <alignment horizontal="center" vertical="center" wrapText="1"/>
    </xf>
    <xf numFmtId="0" fontId="0" fillId="14" borderId="35" xfId="0" applyFill="1" applyBorder="1"/>
    <xf numFmtId="180" fontId="0" fillId="14" borderId="28" xfId="0" applyNumberFormat="1" applyFill="1" applyBorder="1" applyAlignment="1">
      <alignment horizontal="center" vertical="center"/>
    </xf>
    <xf numFmtId="49" fontId="0" fillId="14" borderId="36" xfId="0" applyNumberFormat="1" applyFill="1" applyBorder="1" applyAlignment="1">
      <alignment horizontal="center" vertical="center"/>
    </xf>
    <xf numFmtId="0" fontId="0" fillId="14" borderId="37" xfId="0" applyFill="1" applyBorder="1"/>
    <xf numFmtId="0" fontId="0" fillId="14" borderId="7" xfId="0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49" fontId="0" fillId="14" borderId="32" xfId="0" applyNumberFormat="1" applyFill="1" applyBorder="1" applyAlignment="1">
      <alignment horizontal="center" vertical="center"/>
    </xf>
    <xf numFmtId="0" fontId="0" fillId="14" borderId="37" xfId="0" applyFill="1" applyBorder="1" applyAlignment="1">
      <alignment wrapText="1"/>
    </xf>
    <xf numFmtId="0" fontId="0" fillId="14" borderId="38" xfId="0" applyFill="1" applyBorder="1" applyAlignment="1">
      <alignment vertical="center" wrapText="1"/>
    </xf>
    <xf numFmtId="0" fontId="0" fillId="14" borderId="39" xfId="0" applyFill="1" applyBorder="1" applyAlignment="1">
      <alignment horizontal="center" vertical="center"/>
    </xf>
    <xf numFmtId="0" fontId="0" fillId="14" borderId="40" xfId="0" applyFill="1" applyBorder="1" applyAlignment="1">
      <alignment horizontal="center" vertical="center"/>
    </xf>
    <xf numFmtId="0" fontId="47" fillId="14" borderId="0" xfId="0" applyFont="1" applyFill="1" applyAlignment="1">
      <alignment vertical="center"/>
    </xf>
    <xf numFmtId="0" fontId="47" fillId="14" borderId="7" xfId="0" applyFont="1" applyFill="1" applyBorder="1" applyAlignment="1">
      <alignment vertical="center"/>
    </xf>
    <xf numFmtId="0" fontId="47" fillId="14" borderId="7" xfId="0" applyFont="1" applyFill="1" applyBorder="1" applyAlignment="1">
      <alignment horizontal="center" vertical="center"/>
    </xf>
    <xf numFmtId="0" fontId="47" fillId="14" borderId="7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left" vertical="center" wrapText="1"/>
    </xf>
    <xf numFmtId="0" fontId="0" fillId="14" borderId="7" xfId="0" applyFill="1" applyBorder="1" applyAlignment="1">
      <alignment horizontal="center" vertical="center" wrapText="1"/>
    </xf>
    <xf numFmtId="6" fontId="0" fillId="14" borderId="7" xfId="0" applyNumberFormat="1" applyFill="1" applyBorder="1" applyAlignment="1">
      <alignment horizontal="center" vertical="center" wrapText="1"/>
    </xf>
    <xf numFmtId="177" fontId="32" fillId="0" borderId="9" xfId="0" applyNumberFormat="1" applyFont="1" applyBorder="1"/>
    <xf numFmtId="43" fontId="32" fillId="0" borderId="9" xfId="0" applyNumberFormat="1" applyFont="1" applyBorder="1"/>
    <xf numFmtId="0" fontId="41" fillId="14" borderId="20" xfId="0" applyFont="1" applyFill="1" applyBorder="1" applyAlignment="1">
      <alignment horizontal="left" vertical="distributed"/>
    </xf>
    <xf numFmtId="0" fontId="43" fillId="14" borderId="27" xfId="0" applyFont="1" applyFill="1" applyBorder="1" applyAlignment="1">
      <alignment horizontal="left" vertical="distributed"/>
    </xf>
    <xf numFmtId="0" fontId="43" fillId="14" borderId="34" xfId="0" applyFont="1" applyFill="1" applyBorder="1" applyAlignment="1">
      <alignment horizontal="left" vertical="distributed"/>
    </xf>
    <xf numFmtId="0" fontId="0" fillId="0" borderId="30" xfId="0" applyFill="1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7" fillId="0" borderId="41" xfId="0" applyFont="1" applyBorder="1" applyAlignment="1">
      <alignment horizontal="left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1" fillId="14" borderId="27" xfId="0" applyFont="1" applyFill="1" applyBorder="1" applyAlignment="1">
      <alignment horizontal="left" vertical="distributed"/>
    </xf>
    <xf numFmtId="0" fontId="41" fillId="14" borderId="34" xfId="0" applyFont="1" applyFill="1" applyBorder="1" applyAlignment="1">
      <alignment horizontal="left" vertical="distributed"/>
    </xf>
    <xf numFmtId="0" fontId="10" fillId="0" borderId="15" xfId="0" applyFont="1" applyBorder="1" applyAlignment="1">
      <alignment horizontal="left" vertical="distributed"/>
    </xf>
    <xf numFmtId="0" fontId="10" fillId="0" borderId="16" xfId="0" applyFont="1" applyBorder="1" applyAlignment="1">
      <alignment horizontal="left" vertical="distributed"/>
    </xf>
    <xf numFmtId="0" fontId="10" fillId="0" borderId="17" xfId="0" applyFont="1" applyBorder="1" applyAlignment="1">
      <alignment horizontal="left" vertical="distributed"/>
    </xf>
    <xf numFmtId="0" fontId="11" fillId="0" borderId="1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45" fillId="14" borderId="13" xfId="0" applyFont="1" applyFill="1" applyBorder="1" applyAlignment="1">
      <alignment horizontal="left" vertical="center" wrapText="1"/>
    </xf>
    <xf numFmtId="0" fontId="45" fillId="14" borderId="14" xfId="0" applyFont="1" applyFill="1" applyBorder="1" applyAlignment="1">
      <alignment horizontal="left" vertical="center" wrapText="1"/>
    </xf>
    <xf numFmtId="0" fontId="5" fillId="14" borderId="12" xfId="0" applyFont="1" applyFill="1" applyBorder="1" applyAlignment="1">
      <alignment horizontal="center" vertical="distributed"/>
    </xf>
    <xf numFmtId="0" fontId="5" fillId="14" borderId="14" xfId="0" applyFont="1" applyFill="1" applyBorder="1" applyAlignment="1">
      <alignment horizontal="center" vertical="distributed"/>
    </xf>
    <xf numFmtId="0" fontId="5" fillId="14" borderId="29" xfId="0" applyFont="1" applyFill="1" applyBorder="1" applyAlignment="1">
      <alignment horizontal="center" vertical="distributed"/>
    </xf>
    <xf numFmtId="0" fontId="5" fillId="14" borderId="33" xfId="0" applyFont="1" applyFill="1" applyBorder="1" applyAlignment="1">
      <alignment horizontal="center" vertical="distributed"/>
    </xf>
    <xf numFmtId="0" fontId="3" fillId="14" borderId="19" xfId="0" applyFont="1" applyFill="1" applyBorder="1" applyAlignment="1">
      <alignment horizontal="left" vertical="center" wrapText="1"/>
    </xf>
    <xf numFmtId="0" fontId="3" fillId="14" borderId="22" xfId="0" applyFont="1" applyFill="1" applyBorder="1" applyAlignment="1">
      <alignment horizontal="left" vertical="center" wrapText="1"/>
    </xf>
    <xf numFmtId="0" fontId="3" fillId="14" borderId="9" xfId="0" applyFont="1" applyFill="1" applyBorder="1" applyAlignment="1">
      <alignment horizontal="left" vertical="center" wrapText="1"/>
    </xf>
    <xf numFmtId="0" fontId="45" fillId="14" borderId="20" xfId="0" applyFont="1" applyFill="1" applyBorder="1" applyAlignment="1">
      <alignment horizontal="left" vertical="center" wrapText="1"/>
    </xf>
    <xf numFmtId="0" fontId="45" fillId="14" borderId="27" xfId="0" applyFont="1" applyFill="1" applyBorder="1" applyAlignment="1">
      <alignment horizontal="left" vertical="center" wrapText="1"/>
    </xf>
    <xf numFmtId="0" fontId="45" fillId="14" borderId="34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59" fillId="0" borderId="15" xfId="0" applyFont="1" applyBorder="1" applyAlignment="1">
      <alignment horizontal="left" vertical="distributed"/>
    </xf>
    <xf numFmtId="0" fontId="59" fillId="0" borderId="16" xfId="0" applyFont="1" applyBorder="1" applyAlignment="1">
      <alignment horizontal="left" vertical="distributed"/>
    </xf>
    <xf numFmtId="0" fontId="59" fillId="0" borderId="17" xfId="0" applyFont="1" applyBorder="1" applyAlignment="1">
      <alignment horizontal="left" vertical="distributed"/>
    </xf>
    <xf numFmtId="0" fontId="15" fillId="0" borderId="11" xfId="0" applyFont="1" applyBorder="1" applyAlignment="1">
      <alignment horizontal="left" vertical="center" wrapText="1"/>
    </xf>
    <xf numFmtId="0" fontId="45" fillId="0" borderId="20" xfId="0" applyFont="1" applyFill="1" applyBorder="1" applyAlignment="1">
      <alignment horizontal="left" vertical="center" wrapText="1"/>
    </xf>
    <xf numFmtId="0" fontId="45" fillId="0" borderId="27" xfId="0" applyFont="1" applyFill="1" applyBorder="1" applyAlignment="1">
      <alignment horizontal="left" vertical="center" wrapText="1"/>
    </xf>
    <xf numFmtId="0" fontId="45" fillId="0" borderId="34" xfId="0" applyFont="1" applyFill="1" applyBorder="1" applyAlignment="1">
      <alignment horizontal="left" vertical="center" wrapText="1"/>
    </xf>
    <xf numFmtId="0" fontId="0" fillId="14" borderId="37" xfId="0" applyFill="1" applyBorder="1" applyAlignment="1">
      <alignment horizontal="left" vertical="center" wrapText="1"/>
    </xf>
    <xf numFmtId="0" fontId="72" fillId="14" borderId="1" xfId="0" applyFont="1" applyFill="1" applyBorder="1" applyAlignment="1">
      <alignment horizontal="left"/>
    </xf>
    <xf numFmtId="0" fontId="72" fillId="14" borderId="2" xfId="0" applyFont="1" applyFill="1" applyBorder="1" applyAlignment="1">
      <alignment horizontal="left"/>
    </xf>
    <xf numFmtId="0" fontId="72" fillId="14" borderId="3" xfId="0" applyFont="1" applyFill="1" applyBorder="1" applyAlignment="1">
      <alignment horizontal="left"/>
    </xf>
    <xf numFmtId="0" fontId="72" fillId="14" borderId="4" xfId="0" applyFont="1" applyFill="1" applyBorder="1" applyAlignment="1">
      <alignment horizontal="left"/>
    </xf>
    <xf numFmtId="0" fontId="72" fillId="14" borderId="5" xfId="0" applyFont="1" applyFill="1" applyBorder="1" applyAlignment="1">
      <alignment horizontal="left"/>
    </xf>
    <xf numFmtId="0" fontId="72" fillId="14" borderId="6" xfId="0" applyFont="1" applyFill="1" applyBorder="1" applyAlignment="1">
      <alignment horizontal="left"/>
    </xf>
    <xf numFmtId="0" fontId="7" fillId="14" borderId="20" xfId="0" applyFont="1" applyFill="1" applyBorder="1" applyAlignment="1">
      <alignment horizontal="left" vertical="center"/>
    </xf>
    <xf numFmtId="0" fontId="7" fillId="14" borderId="27" xfId="0" applyFont="1" applyFill="1" applyBorder="1" applyAlignment="1">
      <alignment horizontal="left" vertical="center"/>
    </xf>
    <xf numFmtId="0" fontId="7" fillId="14" borderId="34" xfId="0" applyFont="1" applyFill="1" applyBorder="1" applyAlignment="1">
      <alignment horizontal="left" vertical="center"/>
    </xf>
  </cellXfs>
  <cellStyles count="6">
    <cellStyle name="Millares" xfId="1" builtinId="3"/>
    <cellStyle name="Millares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colors>
    <mruColors>
      <color rgb="FFFFFF99"/>
      <color rgb="FF993300"/>
      <color rgb="FF0000FF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11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8410" y="1151659"/>
          <a:ext cx="2684317" cy="753341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1387186</xdr:colOff>
      <xdr:row>27</xdr:row>
      <xdr:rowOff>99580</xdr:rowOff>
    </xdr:from>
    <xdr:to>
      <xdr:col>6</xdr:col>
      <xdr:colOff>259773</xdr:colOff>
      <xdr:row>62</xdr:row>
      <xdr:rowOff>32905</xdr:rowOff>
    </xdr:to>
    <xdr:pic>
      <xdr:nvPicPr>
        <xdr:cNvPr id="7" name="Imagen 5">
          <a:extLst>
            <a:ext uri="{FF2B5EF4-FFF2-40B4-BE49-F238E27FC236}">
              <a16:creationId xmlns:a16="http://schemas.microsoft.com/office/drawing/2014/main" id="{66A2D0D0-6090-43AD-AFD2-3D739B0D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186" y="5251739"/>
          <a:ext cx="6033655" cy="569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49.7109375" customWidth="1"/>
    <col min="2" max="2" width="18.7109375" customWidth="1"/>
    <col min="3" max="3" width="18.42578125" customWidth="1"/>
    <col min="4" max="4" width="16.28515625" customWidth="1"/>
    <col min="5" max="5" width="23.28515625" customWidth="1"/>
    <col min="6" max="6" width="19.28515625" customWidth="1"/>
    <col min="7" max="7" width="12.7109375" customWidth="1"/>
    <col min="8" max="8" width="17.140625" bestFit="1" customWidth="1"/>
  </cols>
  <sheetData>
    <row r="1" spans="1:12" ht="0.75" customHeight="1" thickBot="1" x14ac:dyDescent="0.3">
      <c r="A1" s="22"/>
      <c r="B1" s="23"/>
      <c r="C1" s="22"/>
      <c r="D1" s="24"/>
      <c r="E1" s="2"/>
      <c r="F1" s="2"/>
      <c r="G1" s="25"/>
      <c r="H1" s="25"/>
      <c r="I1" s="25"/>
    </row>
    <row r="2" spans="1:12" ht="20.25" thickBot="1" x14ac:dyDescent="0.3">
      <c r="A2" s="522" t="s">
        <v>11</v>
      </c>
      <c r="B2" s="523"/>
      <c r="C2" s="523"/>
      <c r="D2" s="523"/>
      <c r="E2" s="523"/>
      <c r="F2" s="523"/>
      <c r="G2" s="523"/>
      <c r="H2" s="523"/>
      <c r="I2" s="524"/>
    </row>
    <row r="3" spans="1:12" x14ac:dyDescent="0.25">
      <c r="A3" s="525" t="s">
        <v>12</v>
      </c>
      <c r="B3" s="525"/>
      <c r="C3" s="525"/>
      <c r="D3" s="525"/>
      <c r="E3" s="525"/>
      <c r="F3" s="525"/>
      <c r="G3" s="525"/>
      <c r="H3" s="525"/>
      <c r="I3" s="525"/>
    </row>
    <row r="4" spans="1:12" ht="31.5" x14ac:dyDescent="0.5">
      <c r="A4" s="26"/>
      <c r="B4" s="27"/>
      <c r="C4" s="28"/>
      <c r="D4" s="28"/>
      <c r="E4" s="11"/>
      <c r="F4" s="29"/>
      <c r="G4" s="30"/>
      <c r="H4" s="31"/>
      <c r="I4" s="31"/>
    </row>
    <row r="5" spans="1:12" x14ac:dyDescent="0.25">
      <c r="A5" s="32" t="s">
        <v>13</v>
      </c>
      <c r="B5" s="33"/>
      <c r="C5" s="34" t="s">
        <v>14</v>
      </c>
      <c r="D5" s="34" t="s">
        <v>15</v>
      </c>
      <c r="E5" s="35"/>
      <c r="F5" s="36"/>
      <c r="G5" s="36"/>
      <c r="H5" s="28"/>
      <c r="I5" s="31"/>
    </row>
    <row r="6" spans="1:12" x14ac:dyDescent="0.25">
      <c r="A6" s="2"/>
      <c r="B6" s="37"/>
      <c r="C6" s="38" t="s">
        <v>16</v>
      </c>
      <c r="D6" s="38" t="s">
        <v>17</v>
      </c>
      <c r="E6" s="39" t="s">
        <v>18</v>
      </c>
      <c r="F6" s="2"/>
      <c r="G6" s="36"/>
      <c r="H6" s="28"/>
      <c r="I6" s="31"/>
    </row>
    <row r="7" spans="1:12" x14ac:dyDescent="0.25">
      <c r="A7" s="2"/>
      <c r="B7" s="40" t="s">
        <v>19</v>
      </c>
      <c r="C7" s="41">
        <v>2220</v>
      </c>
      <c r="D7" s="42">
        <f>E7-C7</f>
        <v>180</v>
      </c>
      <c r="E7" s="43">
        <v>2400</v>
      </c>
      <c r="F7" s="44"/>
      <c r="G7" s="45"/>
      <c r="H7" s="2"/>
      <c r="I7" s="46"/>
    </row>
    <row r="8" spans="1:12" x14ac:dyDescent="0.25">
      <c r="A8" s="2"/>
      <c r="B8" s="40" t="s">
        <v>20</v>
      </c>
      <c r="C8" s="41">
        <f>E8-A8</f>
        <v>2404</v>
      </c>
      <c r="D8" s="42">
        <f>E8-C8</f>
        <v>0</v>
      </c>
      <c r="E8" s="43">
        <v>2404</v>
      </c>
      <c r="F8" s="44"/>
      <c r="G8" s="47"/>
      <c r="H8" s="2"/>
      <c r="I8" s="48"/>
    </row>
    <row r="9" spans="1:12" x14ac:dyDescent="0.25">
      <c r="A9" s="49"/>
      <c r="B9" s="50" t="s">
        <v>18</v>
      </c>
      <c r="C9" s="51">
        <f>SUM(C7:C8)</f>
        <v>4624</v>
      </c>
      <c r="D9" s="52">
        <f>SUM(D7:D8)</f>
        <v>180</v>
      </c>
      <c r="E9" s="53">
        <f>SUM(E7:E8)</f>
        <v>4804</v>
      </c>
      <c r="F9" s="54"/>
      <c r="G9" s="55"/>
      <c r="H9" s="28"/>
      <c r="I9" s="56"/>
    </row>
    <row r="10" spans="1:12" hidden="1" x14ac:dyDescent="0.25">
      <c r="A10" s="49"/>
      <c r="B10" s="57"/>
      <c r="C10" s="58"/>
      <c r="D10" s="59"/>
      <c r="E10" s="59"/>
      <c r="F10" s="2"/>
      <c r="G10" s="6"/>
      <c r="H10" s="28"/>
      <c r="I10" s="28"/>
    </row>
    <row r="11" spans="1:12" hidden="1" x14ac:dyDescent="0.25">
      <c r="A11" s="60" t="s">
        <v>21</v>
      </c>
      <c r="B11" s="61"/>
      <c r="C11" s="62"/>
      <c r="D11" s="8"/>
      <c r="E11" s="63"/>
      <c r="F11" s="64"/>
      <c r="G11" s="63"/>
      <c r="H11" s="65"/>
      <c r="I11" s="63"/>
    </row>
    <row r="12" spans="1:12" hidden="1" x14ac:dyDescent="0.25">
      <c r="A12" s="2" t="s">
        <v>22</v>
      </c>
      <c r="B12" s="61"/>
      <c r="C12" s="62"/>
      <c r="D12" s="8"/>
      <c r="E12" s="63"/>
      <c r="F12" s="64"/>
      <c r="G12" s="63"/>
      <c r="H12" s="65"/>
      <c r="I12" s="63"/>
    </row>
    <row r="13" spans="1:12" ht="51" hidden="1" x14ac:dyDescent="0.25">
      <c r="A13" s="66" t="s">
        <v>23</v>
      </c>
      <c r="B13" s="66" t="s">
        <v>24</v>
      </c>
      <c r="C13" s="66" t="s">
        <v>25</v>
      </c>
      <c r="D13" s="66" t="s">
        <v>26</v>
      </c>
      <c r="E13" s="66" t="s">
        <v>27</v>
      </c>
      <c r="F13" s="66" t="s">
        <v>28</v>
      </c>
      <c r="G13" s="66" t="s">
        <v>29</v>
      </c>
      <c r="H13" s="66" t="s">
        <v>30</v>
      </c>
      <c r="I13" s="63"/>
      <c r="J13" s="321" t="s">
        <v>217</v>
      </c>
      <c r="K13" s="322" t="s">
        <v>29</v>
      </c>
      <c r="L13" s="322" t="s">
        <v>30</v>
      </c>
    </row>
    <row r="14" spans="1:12" hidden="1" x14ac:dyDescent="0.25">
      <c r="A14" s="67">
        <f>LN((C7/E7)/(C8/E8))</f>
        <v>-7.7961541469711806E-2</v>
      </c>
      <c r="B14" s="67">
        <f>SQRT((D7/(C7*E7)+(D8/(C8*E8))))</f>
        <v>5.8123819371909639E-3</v>
      </c>
      <c r="C14" s="68">
        <f>-NORMSINV(2.5/100)</f>
        <v>1.9599639845400538</v>
      </c>
      <c r="D14" s="68">
        <f>A14-(C14*B14)</f>
        <v>-8.935360073099724E-2</v>
      </c>
      <c r="E14" s="69">
        <f>A14+(C14*B14)</f>
        <v>-6.6569482208426373E-2</v>
      </c>
      <c r="F14" s="70">
        <f>(C7/E7)/(C8/E8)</f>
        <v>0.92500000000000004</v>
      </c>
      <c r="G14" s="71">
        <f>EXP(D14)</f>
        <v>0.91452214069730742</v>
      </c>
      <c r="H14" s="72">
        <f>EXP(E14)</f>
        <v>0.93559790618912819</v>
      </c>
      <c r="I14" s="63"/>
      <c r="J14" s="323">
        <f>1-F14</f>
        <v>7.4999999999999956E-2</v>
      </c>
      <c r="K14" s="324">
        <f>1-G14</f>
        <v>8.5477859302692583E-2</v>
      </c>
      <c r="L14" s="324">
        <f>1-H14</f>
        <v>6.4402093810871808E-2</v>
      </c>
    </row>
    <row r="15" spans="1:12" hidden="1" x14ac:dyDescent="0.25">
      <c r="A15" s="73"/>
      <c r="B15" s="61"/>
      <c r="C15" s="74"/>
      <c r="D15" s="75"/>
      <c r="E15" s="76"/>
      <c r="F15" s="77"/>
      <c r="G15" s="78"/>
      <c r="H15" s="75"/>
      <c r="I15" s="63"/>
    </row>
    <row r="16" spans="1:12" hidden="1" x14ac:dyDescent="0.25">
      <c r="A16" s="79"/>
      <c r="B16" s="80"/>
      <c r="C16" s="81"/>
      <c r="D16" s="82"/>
      <c r="E16" s="83"/>
      <c r="F16" s="84"/>
      <c r="G16" s="85"/>
      <c r="H16" s="86"/>
      <c r="I16" s="87"/>
    </row>
    <row r="17" spans="1:29" ht="18.75" hidden="1" x14ac:dyDescent="0.3">
      <c r="A17" s="88" t="s">
        <v>31</v>
      </c>
      <c r="B17" s="89"/>
      <c r="C17" s="90"/>
      <c r="D17" s="91"/>
      <c r="E17" s="87"/>
      <c r="F17" s="87"/>
      <c r="G17" s="87"/>
      <c r="H17" s="92"/>
      <c r="I17" s="87"/>
    </row>
    <row r="18" spans="1:29" hidden="1" x14ac:dyDescent="0.25">
      <c r="A18" s="93" t="s">
        <v>32</v>
      </c>
      <c r="B18" s="94" t="s">
        <v>33</v>
      </c>
      <c r="C18" s="95"/>
      <c r="D18" s="96"/>
      <c r="E18" s="97"/>
      <c r="F18" s="97"/>
      <c r="G18" s="97"/>
      <c r="H18" s="98"/>
      <c r="I18" s="97"/>
    </row>
    <row r="19" spans="1:29" hidden="1" x14ac:dyDescent="0.25">
      <c r="A19" s="99" t="s">
        <v>34</v>
      </c>
      <c r="B19" s="100" t="s">
        <v>35</v>
      </c>
      <c r="C19" s="101"/>
      <c r="D19" s="100" t="s">
        <v>36</v>
      </c>
      <c r="E19" s="100"/>
      <c r="F19" s="100" t="s">
        <v>37</v>
      </c>
      <c r="G19" s="100"/>
      <c r="H19" s="100" t="s">
        <v>38</v>
      </c>
      <c r="I19" s="102"/>
    </row>
    <row r="20" spans="1:29" ht="38.25" hidden="1" x14ac:dyDescent="0.25">
      <c r="A20" s="103" t="s">
        <v>39</v>
      </c>
      <c r="B20" s="103" t="s">
        <v>40</v>
      </c>
      <c r="C20" s="103" t="s">
        <v>41</v>
      </c>
      <c r="D20" s="103" t="s">
        <v>35</v>
      </c>
      <c r="E20" s="103" t="s">
        <v>36</v>
      </c>
      <c r="F20" s="103" t="s">
        <v>37</v>
      </c>
      <c r="G20" s="103" t="s">
        <v>38</v>
      </c>
      <c r="H20" s="103" t="s">
        <v>25</v>
      </c>
      <c r="I20" s="103" t="s">
        <v>42</v>
      </c>
      <c r="J20" s="325" t="s">
        <v>218</v>
      </c>
      <c r="K20" s="326" t="s">
        <v>219</v>
      </c>
      <c r="M20" s="271"/>
      <c r="N20" s="272" t="s">
        <v>191</v>
      </c>
      <c r="O20" s="273" t="s">
        <v>192</v>
      </c>
      <c r="P20" s="274"/>
      <c r="Q20" s="275"/>
      <c r="R20" s="276"/>
      <c r="S20" s="276"/>
      <c r="T20" s="277"/>
      <c r="U20" s="79"/>
      <c r="V20" s="278"/>
      <c r="W20" s="272" t="s">
        <v>193</v>
      </c>
      <c r="X20" s="273" t="s">
        <v>194</v>
      </c>
      <c r="Y20" s="279"/>
      <c r="Z20" s="279"/>
      <c r="AA20" s="279" t="s">
        <v>195</v>
      </c>
      <c r="AB20" s="279"/>
      <c r="AC20" s="280"/>
    </row>
    <row r="21" spans="1:29" hidden="1" x14ac:dyDescent="0.25">
      <c r="A21" s="104">
        <f>C7</f>
        <v>2220</v>
      </c>
      <c r="B21" s="104">
        <f>E7</f>
        <v>2400</v>
      </c>
      <c r="C21" s="105">
        <f>A21/B21</f>
        <v>0.92500000000000004</v>
      </c>
      <c r="D21" s="106">
        <f>2*A21+H21^2</f>
        <v>4443.8414588206942</v>
      </c>
      <c r="E21" s="106">
        <f>H21*SQRT((H21^2)+(4*A21*(1-C21)))</f>
        <v>50.726407131329282</v>
      </c>
      <c r="F21" s="107">
        <f>2*(B21+H21^2)</f>
        <v>4807.6829176413885</v>
      </c>
      <c r="G21" s="108" t="s">
        <v>43</v>
      </c>
      <c r="H21" s="109">
        <f>-NORMSINV(2.5/100)</f>
        <v>1.9599639845400538</v>
      </c>
      <c r="I21" s="110">
        <f>C21</f>
        <v>0.92500000000000004</v>
      </c>
      <c r="J21" s="327">
        <f>(D21-E21)/F21</f>
        <v>0.91376971546297248</v>
      </c>
      <c r="K21" s="328">
        <f>(D21+E21)/F21</f>
        <v>0.93487194204500979</v>
      </c>
      <c r="M21" s="281">
        <f>E9/2</f>
        <v>2402</v>
      </c>
      <c r="N21" s="36" t="s">
        <v>196</v>
      </c>
      <c r="O21" s="8"/>
      <c r="P21" s="282"/>
      <c r="Q21" s="283"/>
      <c r="R21" s="284"/>
      <c r="S21" s="284"/>
      <c r="T21" s="285"/>
      <c r="U21" s="79"/>
      <c r="V21" s="286">
        <f>ABS(C21-C22)</f>
        <v>7.4999999999999956E-2</v>
      </c>
      <c r="W21" s="36" t="s">
        <v>197</v>
      </c>
      <c r="X21" s="8"/>
      <c r="Y21" s="36"/>
      <c r="Z21" s="36"/>
      <c r="AA21" s="36" t="s">
        <v>198</v>
      </c>
      <c r="AB21" s="36"/>
      <c r="AC21" s="287"/>
    </row>
    <row r="22" spans="1:29" hidden="1" x14ac:dyDescent="0.25">
      <c r="A22" s="104">
        <f>C8</f>
        <v>2404</v>
      </c>
      <c r="B22" s="104">
        <f>E8</f>
        <v>2404</v>
      </c>
      <c r="C22" s="105">
        <f>A22/B22</f>
        <v>1</v>
      </c>
      <c r="D22" s="106">
        <f>2*A22+H22^2</f>
        <v>4811.8414588206942</v>
      </c>
      <c r="E22" s="106">
        <f>H22*SQRT((H22^2)+(4*A22*(1-C22)))</f>
        <v>3.8414588206941245</v>
      </c>
      <c r="F22" s="107">
        <f>2*(B22+H22^2)</f>
        <v>4815.6829176413885</v>
      </c>
      <c r="G22" s="108" t="s">
        <v>43</v>
      </c>
      <c r="H22" s="109">
        <f>-NORMSINV(2.5/100)</f>
        <v>1.9599639845400538</v>
      </c>
      <c r="I22" s="110">
        <f>C22</f>
        <v>1</v>
      </c>
      <c r="J22" s="327">
        <f>(D22-E22)/F22</f>
        <v>0.99840460475226811</v>
      </c>
      <c r="K22" s="328">
        <f>(D22+E22)/F22</f>
        <v>1</v>
      </c>
      <c r="M22" s="288">
        <f>I26</f>
        <v>7.4999999999999956E-2</v>
      </c>
      <c r="N22" s="36" t="s">
        <v>199</v>
      </c>
      <c r="O22" s="36"/>
      <c r="P22" s="36"/>
      <c r="Q22" s="36"/>
      <c r="R22" s="36"/>
      <c r="S22" s="36"/>
      <c r="T22" s="289"/>
      <c r="U22" s="79"/>
      <c r="V22" s="290">
        <f>SQRT((C23*(1-C23)/B21)+(C23*(1-C23)/B22))</f>
        <v>5.4798770359221986E-3</v>
      </c>
      <c r="W22" s="291" t="s">
        <v>200</v>
      </c>
      <c r="X22" s="36"/>
      <c r="Y22" s="36"/>
      <c r="Z22" s="36"/>
      <c r="AA22" s="36"/>
      <c r="AB22" s="36"/>
      <c r="AC22" s="287"/>
    </row>
    <row r="23" spans="1:29" hidden="1" x14ac:dyDescent="0.25">
      <c r="A23" s="111">
        <f>A21+A22</f>
        <v>4624</v>
      </c>
      <c r="B23" s="111">
        <f>B21+B22</f>
        <v>4804</v>
      </c>
      <c r="C23" s="112">
        <f>A23/B23</f>
        <v>0.96253122398001667</v>
      </c>
      <c r="D23" s="113"/>
      <c r="E23" s="113"/>
      <c r="F23" s="114"/>
      <c r="G23" s="46"/>
      <c r="H23" s="115"/>
      <c r="I23" s="116"/>
      <c r="J23" s="116"/>
      <c r="K23" s="116"/>
      <c r="M23" s="292">
        <f>(A21+A22)/(B21+B22)</f>
        <v>0.96253122398001667</v>
      </c>
      <c r="N23" s="36" t="s">
        <v>201</v>
      </c>
      <c r="O23" s="8"/>
      <c r="P23" s="282"/>
      <c r="Q23" s="283"/>
      <c r="R23" s="284"/>
      <c r="S23" s="284"/>
      <c r="T23" s="287"/>
      <c r="U23" s="79"/>
      <c r="V23" s="293">
        <f>V21/V22</f>
        <v>13.686438492753211</v>
      </c>
      <c r="W23" s="36" t="s">
        <v>202</v>
      </c>
      <c r="X23" s="8"/>
      <c r="Y23" s="36"/>
      <c r="Z23" s="36"/>
      <c r="AA23" s="36"/>
      <c r="AB23" s="36"/>
      <c r="AC23" s="287"/>
    </row>
    <row r="24" spans="1:29" ht="15.75" hidden="1" x14ac:dyDescent="0.25">
      <c r="A24" s="100"/>
      <c r="B24" s="94" t="s">
        <v>44</v>
      </c>
      <c r="C24" s="100"/>
      <c r="D24" s="100"/>
      <c r="E24" s="97"/>
      <c r="F24" s="97"/>
      <c r="G24" s="97"/>
      <c r="H24" s="98"/>
      <c r="I24" s="97"/>
      <c r="J24" s="329"/>
      <c r="K24" s="100"/>
      <c r="M24" s="294">
        <f>SQRT(M21*M22^2/(2*M23*(1-M23)))-H21</f>
        <v>11.726479252540711</v>
      </c>
      <c r="N24" s="36" t="s">
        <v>203</v>
      </c>
      <c r="O24" s="36"/>
      <c r="P24" s="36"/>
      <c r="Q24" s="36"/>
      <c r="R24" s="36"/>
      <c r="S24" s="73"/>
      <c r="T24" s="285"/>
      <c r="U24" s="79"/>
      <c r="V24" s="295">
        <f>NORMSDIST(-V23)</f>
        <v>6.1180697634912771E-43</v>
      </c>
      <c r="W24" s="296" t="s">
        <v>204</v>
      </c>
      <c r="X24" s="36"/>
      <c r="Y24" s="73"/>
      <c r="Z24" s="73"/>
      <c r="AA24" s="73"/>
      <c r="AB24" s="73"/>
      <c r="AC24" s="289"/>
    </row>
    <row r="25" spans="1:29" ht="15.75" hidden="1" thickBot="1" x14ac:dyDescent="0.3">
      <c r="A25" s="100"/>
      <c r="B25" s="94" t="s">
        <v>45</v>
      </c>
      <c r="C25" s="95"/>
      <c r="D25" s="96"/>
      <c r="E25" s="97"/>
      <c r="F25" s="97"/>
      <c r="G25" s="2"/>
      <c r="H25" s="2"/>
      <c r="I25" s="117"/>
      <c r="J25" s="117"/>
      <c r="K25" s="117"/>
      <c r="M25" s="297">
        <f>NORMSDIST(M24)</f>
        <v>1</v>
      </c>
      <c r="N25" s="296" t="s">
        <v>205</v>
      </c>
      <c r="O25" s="298"/>
      <c r="P25" s="36"/>
      <c r="Q25" s="36"/>
      <c r="R25" s="36"/>
      <c r="S25" s="36"/>
      <c r="T25" s="287"/>
      <c r="U25" s="79"/>
      <c r="V25" s="299">
        <f>1-V24</f>
        <v>1</v>
      </c>
      <c r="W25" s="300" t="s">
        <v>206</v>
      </c>
      <c r="X25" s="298"/>
      <c r="Y25" s="73"/>
      <c r="Z25" s="73"/>
      <c r="AA25" s="73"/>
      <c r="AB25" s="73"/>
      <c r="AC25" s="289"/>
    </row>
    <row r="26" spans="1:29" ht="18" hidden="1" thickBot="1" x14ac:dyDescent="0.35">
      <c r="A26" s="118" t="s">
        <v>46</v>
      </c>
      <c r="B26" s="119"/>
      <c r="C26" s="2"/>
      <c r="D26" s="95"/>
      <c r="E26" s="120" t="s">
        <v>47</v>
      </c>
      <c r="F26" s="100"/>
      <c r="G26" s="95"/>
      <c r="H26" s="121" t="s">
        <v>48</v>
      </c>
      <c r="I26" s="122">
        <f>C22-C21</f>
        <v>7.4999999999999956E-2</v>
      </c>
      <c r="J26" s="330">
        <f>I26-SQRT((C22-J22)^2+(K21-C21)^2)</f>
        <v>6.4999973713208675E-2</v>
      </c>
      <c r="K26" s="331">
        <f>I26+SQRT((C21-J21)^2+(K22-C22)^2)</f>
        <v>8.6230284537027524E-2</v>
      </c>
      <c r="M26" s="301">
        <f>1-M25</f>
        <v>0</v>
      </c>
      <c r="N26" s="302" t="s">
        <v>207</v>
      </c>
      <c r="O26" s="303"/>
      <c r="P26" s="304"/>
      <c r="Q26" s="303"/>
      <c r="R26" s="303"/>
      <c r="S26" s="303"/>
      <c r="T26" s="305"/>
      <c r="U26" s="79"/>
      <c r="V26" s="306"/>
      <c r="W26" s="307"/>
      <c r="X26" s="303"/>
      <c r="Y26" s="307"/>
      <c r="Z26" s="307"/>
      <c r="AA26" s="307"/>
      <c r="AB26" s="307"/>
      <c r="AC26" s="308"/>
    </row>
    <row r="27" spans="1:29" ht="15.75" hidden="1" thickBot="1" x14ac:dyDescent="0.3">
      <c r="A27" s="2"/>
      <c r="B27" s="2"/>
      <c r="C27" s="123"/>
      <c r="D27" s="2"/>
      <c r="E27" s="124"/>
      <c r="F27" s="2"/>
      <c r="G27" s="2"/>
      <c r="H27" s="125" t="s">
        <v>49</v>
      </c>
      <c r="I27" s="126">
        <f>1/I26</f>
        <v>13.333333333333341</v>
      </c>
      <c r="J27" s="332">
        <f>1/J26</f>
        <v>15.384621606343659</v>
      </c>
      <c r="K27" s="333">
        <f>1/K26</f>
        <v>11.596853766272767</v>
      </c>
      <c r="M27" s="2"/>
      <c r="N27" s="2"/>
      <c r="O27" s="2"/>
      <c r="P27" s="2"/>
      <c r="Q27" s="2"/>
      <c r="R27" s="2"/>
      <c r="S27" s="2"/>
      <c r="T27" s="2"/>
      <c r="U27" s="2"/>
      <c r="V27" s="79"/>
      <c r="W27" s="79"/>
      <c r="X27" s="79"/>
      <c r="Y27" s="79"/>
      <c r="Z27" s="79"/>
      <c r="AA27" s="79"/>
      <c r="AB27" s="79"/>
      <c r="AC27" s="2"/>
    </row>
    <row r="28" spans="1:29" hidden="1" x14ac:dyDescent="0.25">
      <c r="A28" s="73"/>
      <c r="B28" s="127"/>
      <c r="C28" s="123"/>
      <c r="D28" s="128"/>
      <c r="E28" s="2"/>
      <c r="F28" s="2"/>
      <c r="G28" s="2"/>
      <c r="H28" s="2"/>
      <c r="I28" s="129"/>
      <c r="J28" s="334"/>
      <c r="K28" s="334"/>
      <c r="M28" s="309"/>
      <c r="N28" s="310"/>
      <c r="O28" s="310" t="s">
        <v>200</v>
      </c>
      <c r="P28" s="311">
        <f>SQRT((C23*(1-C23)/B21)+(C23*(1-C23)/B22))</f>
        <v>5.4798770359221986E-3</v>
      </c>
      <c r="Q28" s="312"/>
      <c r="R28" s="312"/>
      <c r="S28" s="312"/>
      <c r="T28" s="280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hidden="1" x14ac:dyDescent="0.25">
      <c r="A29" s="130"/>
      <c r="B29" s="130"/>
      <c r="C29" s="127"/>
      <c r="D29" s="128"/>
      <c r="E29" s="131"/>
      <c r="F29" s="132"/>
      <c r="G29" s="133" t="s">
        <v>50</v>
      </c>
      <c r="H29" s="134" t="s">
        <v>51</v>
      </c>
      <c r="I29" s="135">
        <f>I27</f>
        <v>13.333333333333341</v>
      </c>
      <c r="J29" s="135">
        <f>J27</f>
        <v>15.384621606343659</v>
      </c>
      <c r="K29" s="135">
        <f>K27</f>
        <v>11.596853766272767</v>
      </c>
      <c r="M29" s="313" t="s">
        <v>208</v>
      </c>
      <c r="N29" s="314"/>
      <c r="O29" s="36" t="s">
        <v>209</v>
      </c>
      <c r="P29" s="36"/>
      <c r="Q29" s="282"/>
      <c r="R29" s="315" t="s">
        <v>210</v>
      </c>
      <c r="S29" s="36"/>
      <c r="T29" s="287"/>
      <c r="U29" s="2"/>
      <c r="V29" s="2"/>
      <c r="W29" s="2"/>
      <c r="X29" s="2"/>
      <c r="Y29" s="2"/>
      <c r="Z29" s="2"/>
      <c r="AA29" s="2"/>
      <c r="AB29" s="2"/>
      <c r="AC29" s="2"/>
    </row>
    <row r="30" spans="1:29" hidden="1" x14ac:dyDescent="0.25">
      <c r="A30" s="63"/>
      <c r="B30" s="128"/>
      <c r="C30" s="128"/>
      <c r="D30" s="136"/>
      <c r="E30" s="137"/>
      <c r="F30" s="138"/>
      <c r="G30" s="139"/>
      <c r="H30" s="140" t="s">
        <v>52</v>
      </c>
      <c r="I30" s="141">
        <f>(1-C22)*I27</f>
        <v>0</v>
      </c>
      <c r="J30" s="141">
        <f>(1-C22)*J27</f>
        <v>0</v>
      </c>
      <c r="K30" s="141">
        <f>(1-C22)*K27</f>
        <v>0</v>
      </c>
      <c r="M30" s="316"/>
      <c r="N30" s="317" t="s">
        <v>211</v>
      </c>
      <c r="O30" s="73"/>
      <c r="P30" s="318" t="s">
        <v>212</v>
      </c>
      <c r="Q30" s="317" t="s">
        <v>213</v>
      </c>
      <c r="R30" s="36"/>
      <c r="S30" s="36"/>
      <c r="T30" s="289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hidden="1" x14ac:dyDescent="0.25">
      <c r="A31" s="73"/>
      <c r="B31" s="127"/>
      <c r="C31" s="127"/>
      <c r="D31" s="127"/>
      <c r="E31" s="142"/>
      <c r="F31" s="143"/>
      <c r="G31" s="144"/>
      <c r="H31" s="145" t="s">
        <v>53</v>
      </c>
      <c r="I31" s="146">
        <f>I27*I26</f>
        <v>1</v>
      </c>
      <c r="J31" s="146">
        <f>J27*J26</f>
        <v>1</v>
      </c>
      <c r="K31" s="146">
        <f>K27*K26</f>
        <v>1</v>
      </c>
      <c r="M31" s="294">
        <f>ABS((I26/P28))-H21</f>
        <v>11.726474508213158</v>
      </c>
      <c r="N31" s="317" t="s">
        <v>214</v>
      </c>
      <c r="O31" s="36"/>
      <c r="P31" s="36"/>
      <c r="Q31" s="283"/>
      <c r="R31" s="284"/>
      <c r="S31" s="284"/>
      <c r="T31" s="285"/>
      <c r="U31" s="73"/>
      <c r="V31" s="73"/>
      <c r="W31" s="73"/>
      <c r="X31" s="73"/>
      <c r="Y31" s="73"/>
      <c r="Z31" s="73"/>
      <c r="AA31" s="73"/>
      <c r="AB31" s="73"/>
      <c r="AC31" s="73"/>
    </row>
    <row r="32" spans="1:29" hidden="1" x14ac:dyDescent="0.25">
      <c r="A32" s="64"/>
      <c r="B32" s="147"/>
      <c r="C32" s="73"/>
      <c r="D32" s="64"/>
      <c r="E32" s="73"/>
      <c r="F32" s="148"/>
      <c r="G32" s="149"/>
      <c r="H32" s="150" t="s">
        <v>54</v>
      </c>
      <c r="I32" s="151">
        <f>(C22-I26)*I27</f>
        <v>12.333333333333341</v>
      </c>
      <c r="J32" s="151">
        <f>(C22-J26)*J27</f>
        <v>14.384621606343659</v>
      </c>
      <c r="K32" s="151">
        <f>(C22-K26)*K27</f>
        <v>10.596853766272767</v>
      </c>
      <c r="M32" s="297">
        <f>NORMSDIST(M31)</f>
        <v>1</v>
      </c>
      <c r="N32" s="291" t="s">
        <v>215</v>
      </c>
      <c r="O32" s="298"/>
      <c r="P32" s="36"/>
      <c r="Q32" s="36"/>
      <c r="R32" s="36"/>
      <c r="S32" s="36"/>
      <c r="T32" s="289"/>
      <c r="U32" s="73"/>
      <c r="V32" s="73"/>
      <c r="W32" s="73"/>
      <c r="X32" s="73"/>
      <c r="Y32" s="73"/>
      <c r="Z32" s="73"/>
      <c r="AA32" s="73"/>
      <c r="AB32" s="73"/>
      <c r="AC32" s="73"/>
    </row>
    <row r="33" spans="1:29" hidden="1" x14ac:dyDescent="0.25">
      <c r="A33" s="64"/>
      <c r="B33" s="73"/>
      <c r="C33" s="73"/>
      <c r="D33" s="73"/>
      <c r="E33" s="73"/>
      <c r="F33" s="152"/>
      <c r="G33" s="152"/>
      <c r="H33" s="152"/>
      <c r="I33" s="153"/>
      <c r="J33" s="153"/>
      <c r="K33" s="153"/>
      <c r="M33" s="301">
        <f>1-M32</f>
        <v>0</v>
      </c>
      <c r="N33" s="303" t="s">
        <v>216</v>
      </c>
      <c r="O33" s="303"/>
      <c r="P33" s="304"/>
      <c r="Q33" s="319"/>
      <c r="R33" s="320"/>
      <c r="S33" s="320"/>
      <c r="T33" s="305"/>
      <c r="U33" s="73"/>
      <c r="V33" s="73"/>
      <c r="W33" s="73"/>
      <c r="X33" s="73"/>
      <c r="Y33" s="73"/>
      <c r="Z33" s="73"/>
      <c r="AA33" s="73"/>
      <c r="AB33" s="73"/>
      <c r="AC33" s="73"/>
    </row>
    <row r="34" spans="1:29" ht="15.75" hidden="1" x14ac:dyDescent="0.25">
      <c r="A34" s="73"/>
      <c r="B34" s="73"/>
      <c r="C34" s="73"/>
      <c r="D34" s="73"/>
      <c r="E34" s="154"/>
      <c r="F34" s="155"/>
      <c r="G34" s="133" t="s">
        <v>55</v>
      </c>
      <c r="H34" s="134" t="s">
        <v>56</v>
      </c>
      <c r="I34" s="135">
        <f>ABS(I27)</f>
        <v>13.333333333333341</v>
      </c>
      <c r="J34" s="135">
        <f>ABS(K27)</f>
        <v>11.596853766272767</v>
      </c>
      <c r="K34" s="135">
        <f>ABS(J27)</f>
        <v>15.384621606343659</v>
      </c>
    </row>
    <row r="35" spans="1:29" hidden="1" x14ac:dyDescent="0.25">
      <c r="A35" s="73"/>
      <c r="B35" s="73"/>
      <c r="C35" s="73"/>
      <c r="D35" s="73"/>
      <c r="E35" s="73"/>
      <c r="F35" s="156"/>
      <c r="G35" s="157"/>
      <c r="H35" s="158" t="s">
        <v>52</v>
      </c>
      <c r="I35" s="141">
        <f>ABS((1-(C22-I26))*I27)</f>
        <v>1</v>
      </c>
      <c r="J35" s="141">
        <f>ABS((1-(C22-K26))*K27)</f>
        <v>1</v>
      </c>
      <c r="K35" s="141">
        <f>ABS((1-(C22-J26))*J27)</f>
        <v>0.99999999999999967</v>
      </c>
    </row>
    <row r="36" spans="1:29" hidden="1" x14ac:dyDescent="0.25">
      <c r="A36" s="73"/>
      <c r="B36" s="73"/>
      <c r="C36" s="73"/>
      <c r="D36" s="73"/>
      <c r="E36" s="159"/>
      <c r="F36" s="160"/>
      <c r="G36" s="161"/>
      <c r="H36" s="162" t="s">
        <v>57</v>
      </c>
      <c r="I36" s="163">
        <f>I27*I26</f>
        <v>1</v>
      </c>
      <c r="J36" s="335">
        <f>K27*K26</f>
        <v>1</v>
      </c>
      <c r="K36" s="335">
        <f>J27*J26</f>
        <v>1</v>
      </c>
    </row>
    <row r="37" spans="1:29" ht="15.75" hidden="1" x14ac:dyDescent="0.25">
      <c r="A37" s="164" t="s">
        <v>58</v>
      </c>
      <c r="B37" s="165"/>
      <c r="C37" s="165"/>
      <c r="D37" s="165"/>
      <c r="E37" s="152"/>
      <c r="F37" s="166"/>
      <c r="G37" s="167"/>
      <c r="H37" s="168" t="s">
        <v>59</v>
      </c>
      <c r="I37" s="151">
        <f>ABS(C22*I27)</f>
        <v>13.333333333333341</v>
      </c>
      <c r="J37" s="151">
        <f>ABS(C22*K27)</f>
        <v>11.596853766272767</v>
      </c>
      <c r="K37" s="151">
        <f>ABS(C22*J27)</f>
        <v>15.384621606343659</v>
      </c>
    </row>
    <row r="38" spans="1:29" hidden="1" x14ac:dyDescent="0.25">
      <c r="A38" s="2"/>
      <c r="B38" s="169" t="s">
        <v>14</v>
      </c>
      <c r="C38" s="170" t="s">
        <v>15</v>
      </c>
      <c r="D38" s="36"/>
      <c r="E38" s="152"/>
      <c r="F38" s="152"/>
      <c r="G38" s="171"/>
      <c r="H38" s="172"/>
      <c r="I38" s="173"/>
      <c r="J38" s="173"/>
      <c r="K38" s="173"/>
    </row>
    <row r="39" spans="1:29" hidden="1" x14ac:dyDescent="0.25">
      <c r="A39" s="174" t="s">
        <v>60</v>
      </c>
      <c r="B39" s="175" t="s">
        <v>16</v>
      </c>
      <c r="C39" s="176" t="s">
        <v>17</v>
      </c>
      <c r="D39" s="7" t="s">
        <v>18</v>
      </c>
      <c r="E39" s="2"/>
      <c r="F39" s="2"/>
      <c r="G39" s="2"/>
      <c r="H39" s="2"/>
      <c r="I39" s="2"/>
      <c r="J39" s="2"/>
      <c r="K39" s="2"/>
    </row>
    <row r="40" spans="1:29" hidden="1" x14ac:dyDescent="0.25">
      <c r="A40" s="177" t="s">
        <v>61</v>
      </c>
      <c r="B40" s="178">
        <f>E7*C9/E9</f>
        <v>2310.07493755204</v>
      </c>
      <c r="C40" s="178">
        <f>E7*D9/E9</f>
        <v>89.92506244796003</v>
      </c>
      <c r="D40" s="178">
        <f>E7</f>
        <v>2400</v>
      </c>
      <c r="E40" s="2"/>
      <c r="F40" s="179"/>
      <c r="G40" s="180" t="s">
        <v>62</v>
      </c>
      <c r="H40" s="181">
        <f>CHIINV(0.05,J41)</f>
        <v>3.8414588206941236</v>
      </c>
      <c r="I40" s="2"/>
      <c r="J40" s="2"/>
      <c r="K40" s="2"/>
    </row>
    <row r="41" spans="1:29" hidden="1" x14ac:dyDescent="0.25">
      <c r="A41" s="182" t="s">
        <v>63</v>
      </c>
      <c r="B41" s="178">
        <f>E8*C9/E9</f>
        <v>2313.92506244796</v>
      </c>
      <c r="C41" s="178">
        <f>E8*D9/E9</f>
        <v>90.07493755203997</v>
      </c>
      <c r="D41" s="178">
        <f>E8</f>
        <v>2404</v>
      </c>
      <c r="E41" s="79"/>
      <c r="F41" s="183"/>
      <c r="G41" s="183"/>
      <c r="H41" s="132"/>
      <c r="I41" s="184" t="s">
        <v>64</v>
      </c>
      <c r="J41" s="336">
        <f>(COUNT(B40:C40)-1)*(COUNT(B40:B41)-1)</f>
        <v>1</v>
      </c>
      <c r="K41" s="2"/>
    </row>
    <row r="42" spans="1:29" hidden="1" x14ac:dyDescent="0.25">
      <c r="A42" s="95" t="s">
        <v>65</v>
      </c>
      <c r="B42" s="178">
        <f>SUM(B40:B41)</f>
        <v>4624</v>
      </c>
      <c r="C42" s="178">
        <f>SUM(C40:C41)</f>
        <v>180</v>
      </c>
      <c r="D42" s="185">
        <f>SUM(D40:D41)</f>
        <v>4804</v>
      </c>
      <c r="E42" s="79"/>
      <c r="F42" s="79"/>
      <c r="G42" s="186" t="s">
        <v>66</v>
      </c>
      <c r="H42" s="36" t="s">
        <v>67</v>
      </c>
      <c r="I42" s="2"/>
    </row>
    <row r="43" spans="1:29" hidden="1" x14ac:dyDescent="0.25">
      <c r="A43" s="95"/>
      <c r="B43" s="187"/>
      <c r="C43" s="187"/>
      <c r="D43" s="188"/>
      <c r="E43" s="79"/>
      <c r="F43" s="79"/>
      <c r="G43" s="186" t="s">
        <v>68</v>
      </c>
      <c r="H43" s="36" t="s">
        <v>69</v>
      </c>
      <c r="I43" s="2"/>
    </row>
    <row r="44" spans="1:29" hidden="1" x14ac:dyDescent="0.25">
      <c r="A44" s="189"/>
      <c r="B44" s="526" t="s">
        <v>70</v>
      </c>
      <c r="C44" s="527"/>
      <c r="D44" s="2"/>
      <c r="E44" s="2"/>
      <c r="F44" s="95"/>
      <c r="G44" s="190"/>
      <c r="H44" s="100"/>
      <c r="I44" s="2"/>
    </row>
    <row r="45" spans="1:29" hidden="1" x14ac:dyDescent="0.25">
      <c r="A45" s="189"/>
      <c r="B45" s="191">
        <f>(C7-B40)^2/B40</f>
        <v>3.5122212890641871</v>
      </c>
      <c r="C45" s="191">
        <f>(D7-C40)^2/C40</f>
        <v>90.225062447960042</v>
      </c>
      <c r="D45" s="2"/>
      <c r="E45" s="174"/>
      <c r="F45" s="192"/>
      <c r="G45" s="2"/>
      <c r="H45" s="2"/>
      <c r="I45" s="73"/>
    </row>
    <row r="46" spans="1:29" hidden="1" x14ac:dyDescent="0.25">
      <c r="A46" s="189"/>
      <c r="B46" s="191">
        <f>(C8-B41)^2/B41</f>
        <v>3.5063773268527658</v>
      </c>
      <c r="C46" s="191">
        <f>(D8-C41)^2/C41</f>
        <v>90.07493755203997</v>
      </c>
      <c r="D46" s="193"/>
      <c r="E46" s="194" t="s">
        <v>71</v>
      </c>
      <c r="F46" s="195">
        <f>B48-H40</f>
        <v>183.47713979522285</v>
      </c>
      <c r="G46" s="2"/>
      <c r="H46" s="2"/>
      <c r="I46" s="73"/>
    </row>
    <row r="47" spans="1:29" ht="15.75" hidden="1" thickBot="1" x14ac:dyDescent="0.3">
      <c r="A47" s="36" t="s">
        <v>72</v>
      </c>
      <c r="B47" s="2"/>
      <c r="C47" s="196"/>
      <c r="D47" s="2"/>
      <c r="E47" s="2"/>
      <c r="F47" s="100" t="s">
        <v>73</v>
      </c>
      <c r="G47" s="2"/>
      <c r="H47" s="2"/>
      <c r="I47" s="73"/>
    </row>
    <row r="48" spans="1:29" ht="15.75" hidden="1" thickBot="1" x14ac:dyDescent="0.3">
      <c r="A48" s="197" t="s">
        <v>74</v>
      </c>
      <c r="B48" s="198">
        <f>SUM(B45:C46)</f>
        <v>187.31859861591698</v>
      </c>
      <c r="C48" s="36"/>
      <c r="D48" s="2"/>
      <c r="E48" s="2"/>
      <c r="F48" s="100" t="s">
        <v>75</v>
      </c>
      <c r="G48" s="2"/>
      <c r="H48" s="199"/>
      <c r="I48" s="73"/>
    </row>
    <row r="49" spans="1:9" ht="15.75" hidden="1" thickBot="1" x14ac:dyDescent="0.3">
      <c r="A49" s="200" t="s">
        <v>76</v>
      </c>
      <c r="B49" s="201">
        <f>CHIDIST(B48,1)</f>
        <v>1.2236139526981681E-42</v>
      </c>
      <c r="C49" s="2"/>
      <c r="D49" s="36"/>
      <c r="E49" s="36"/>
      <c r="F49" s="36"/>
      <c r="G49" s="202"/>
      <c r="H49" s="36"/>
      <c r="I49" s="73"/>
    </row>
    <row r="50" spans="1:9" hidden="1" x14ac:dyDescent="0.25">
      <c r="A50" s="73"/>
      <c r="B50" s="73"/>
      <c r="C50" s="73"/>
      <c r="D50" s="203"/>
      <c r="E50" s="203"/>
      <c r="F50" s="73"/>
      <c r="G50" s="73"/>
      <c r="H50" s="204"/>
      <c r="I50" s="73"/>
    </row>
    <row r="51" spans="1:9" hidden="1" x14ac:dyDescent="0.25">
      <c r="A51" s="2"/>
      <c r="B51" s="2"/>
      <c r="C51" s="2"/>
      <c r="D51" s="2"/>
      <c r="E51" s="2"/>
      <c r="F51" s="2"/>
      <c r="G51" s="2"/>
      <c r="H51" s="2"/>
      <c r="I51" s="73"/>
    </row>
    <row r="52" spans="1:9" ht="15.75" hidden="1" thickBot="1" x14ac:dyDescent="0.3">
      <c r="A52" s="2"/>
      <c r="B52" s="2"/>
      <c r="C52" s="2"/>
      <c r="D52" s="2"/>
      <c r="E52" s="2"/>
      <c r="F52" s="129"/>
      <c r="G52" s="2"/>
      <c r="H52" s="2"/>
      <c r="I52" s="73"/>
    </row>
    <row r="53" spans="1:9" ht="15.75" hidden="1" thickBot="1" x14ac:dyDescent="0.3">
      <c r="A53" s="205" t="s">
        <v>77</v>
      </c>
      <c r="B53" s="206"/>
      <c r="C53" s="206"/>
      <c r="D53" s="207" t="s">
        <v>8</v>
      </c>
      <c r="E53" s="207" t="s">
        <v>78</v>
      </c>
      <c r="F53" s="207" t="s">
        <v>79</v>
      </c>
      <c r="G53" s="208"/>
      <c r="H53" s="2"/>
      <c r="I53" s="73"/>
    </row>
    <row r="54" spans="1:9" hidden="1" x14ac:dyDescent="0.25">
      <c r="A54" s="209" t="s">
        <v>80</v>
      </c>
      <c r="B54" s="210">
        <f>ROUND(E7,0)</f>
        <v>2400</v>
      </c>
      <c r="C54" s="210">
        <f>ROUND(E8,0)</f>
        <v>2404</v>
      </c>
      <c r="D54" s="211">
        <f>ROUND(F14,2)</f>
        <v>0.93</v>
      </c>
      <c r="E54" s="212">
        <f>ROUND(I26,4)</f>
        <v>7.4999999999999997E-2</v>
      </c>
      <c r="F54" s="213">
        <f>ROUND(I27,0)</f>
        <v>13</v>
      </c>
      <c r="G54" s="214"/>
      <c r="H54" s="2"/>
      <c r="I54" s="73"/>
    </row>
    <row r="55" spans="1:9" hidden="1" x14ac:dyDescent="0.25">
      <c r="A55" s="215" t="s">
        <v>81</v>
      </c>
      <c r="B55" s="210">
        <f>ROUND(C7,0)</f>
        <v>2220</v>
      </c>
      <c r="C55" s="210">
        <f>ROUND(C8,0)</f>
        <v>2404</v>
      </c>
      <c r="D55" s="211">
        <f>ROUND(G14,2)</f>
        <v>0.91</v>
      </c>
      <c r="E55" s="212">
        <f>ROUND(K26,4)</f>
        <v>8.6199999999999999E-2</v>
      </c>
      <c r="F55" s="213">
        <f>ROUND(J27,0)</f>
        <v>15</v>
      </c>
      <c r="G55" s="214"/>
      <c r="H55" s="2"/>
      <c r="I55" s="73"/>
    </row>
    <row r="56" spans="1:9" hidden="1" x14ac:dyDescent="0.25">
      <c r="A56" s="215" t="s">
        <v>82</v>
      </c>
      <c r="B56" s="212">
        <f>ROUND(C21,4)</f>
        <v>0.92500000000000004</v>
      </c>
      <c r="C56" s="212">
        <f>ROUND(C22,4)</f>
        <v>1</v>
      </c>
      <c r="D56" s="211">
        <f>ROUND(H14,2)</f>
        <v>0.94</v>
      </c>
      <c r="E56" s="212">
        <f>ROUND(J26,4)</f>
        <v>6.5000000000000002E-2</v>
      </c>
      <c r="F56" s="213">
        <f>ROUND(K27,0)</f>
        <v>12</v>
      </c>
      <c r="G56" s="216">
        <f>ROUND(M25,4)</f>
        <v>1</v>
      </c>
      <c r="H56" s="79"/>
      <c r="I56" s="217"/>
    </row>
    <row r="57" spans="1:9" hidden="1" x14ac:dyDescent="0.25">
      <c r="A57" s="215" t="s">
        <v>83</v>
      </c>
      <c r="B57" s="218" t="s">
        <v>84</v>
      </c>
      <c r="C57" s="218" t="s">
        <v>85</v>
      </c>
      <c r="D57" s="218" t="s">
        <v>28</v>
      </c>
      <c r="E57" s="218" t="s">
        <v>86</v>
      </c>
      <c r="F57" s="219" t="s">
        <v>87</v>
      </c>
      <c r="G57" s="220" t="s">
        <v>88</v>
      </c>
      <c r="H57" s="2"/>
      <c r="I57" s="217"/>
    </row>
    <row r="58" spans="1:9" hidden="1" x14ac:dyDescent="0.25">
      <c r="A58" s="221" t="s">
        <v>89</v>
      </c>
      <c r="B58" s="222" t="str">
        <f>CONCATENATE(B55,A59,B54," ",A54,B56*100,A57,A56)</f>
        <v>2220/2400 (92,5%)</v>
      </c>
      <c r="C58" s="222" t="str">
        <f>CONCATENATE(C55,A59,C54," ",A54,C56*100,A57,A56)</f>
        <v>2404/2404 (100%)</v>
      </c>
      <c r="D58" s="222" t="str">
        <f>CONCATENATE(D54," ",A54,D55,A55,D56,A56)</f>
        <v>0,93 (0,91-0,94)</v>
      </c>
      <c r="E58" s="222" t="str">
        <f>CONCATENATE(E54*100,A57," ",A54,E55*100,A57," ",A58," ",E56*100,A57,A56)</f>
        <v>7,5% (8,62% a 6,5%)</v>
      </c>
      <c r="F58" s="222" t="str">
        <f>CONCATENATE(F54," ",A54,F55," ",A58," ",F56,A56)</f>
        <v>13 (15 a 12)</v>
      </c>
      <c r="G58" s="220" t="str">
        <f>CONCATENATE(G56*100,A57)</f>
        <v>100%</v>
      </c>
      <c r="H58" s="2"/>
      <c r="I58" s="73"/>
    </row>
    <row r="59" spans="1:9" ht="15.75" hidden="1" thickBot="1" x14ac:dyDescent="0.3">
      <c r="A59" s="223" t="s">
        <v>90</v>
      </c>
      <c r="B59" s="224"/>
      <c r="C59" s="224"/>
      <c r="D59" s="224"/>
      <c r="E59" s="224"/>
      <c r="F59" s="224"/>
      <c r="G59" s="225"/>
      <c r="H59" s="2"/>
      <c r="I59" s="73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25.5" x14ac:dyDescent="0.25">
      <c r="A61" s="2"/>
      <c r="B61" s="226" t="s">
        <v>84</v>
      </c>
      <c r="C61" s="226" t="s">
        <v>85</v>
      </c>
      <c r="D61" s="227" t="s">
        <v>91</v>
      </c>
      <c r="E61" s="227" t="s">
        <v>92</v>
      </c>
      <c r="F61" s="227" t="s">
        <v>93</v>
      </c>
      <c r="G61" s="227" t="s">
        <v>94</v>
      </c>
      <c r="H61" s="227" t="s">
        <v>95</v>
      </c>
      <c r="I61" s="232"/>
    </row>
    <row r="62" spans="1:9" ht="20.100000000000001" customHeight="1" x14ac:dyDescent="0.25">
      <c r="A62" s="2"/>
      <c r="B62" s="228" t="str">
        <f t="shared" ref="B62:G62" si="0">B58</f>
        <v>2220/2400 (92,5%)</v>
      </c>
      <c r="C62" s="228" t="str">
        <f t="shared" si="0"/>
        <v>2404/2404 (100%)</v>
      </c>
      <c r="D62" s="228" t="str">
        <f t="shared" si="0"/>
        <v>0,93 (0,91-0,94)</v>
      </c>
      <c r="E62" s="228" t="str">
        <f t="shared" si="0"/>
        <v>7,5% (8,62% a 6,5%)</v>
      </c>
      <c r="F62" s="228" t="str">
        <f t="shared" si="0"/>
        <v>13 (15 a 12)</v>
      </c>
      <c r="G62" s="228" t="str">
        <f t="shared" si="0"/>
        <v>100%</v>
      </c>
      <c r="H62" s="229">
        <f>B49</f>
        <v>1.2236139526981681E-42</v>
      </c>
      <c r="I62" s="233"/>
    </row>
    <row r="63" spans="1:9" x14ac:dyDescent="0.25">
      <c r="A63" s="230"/>
      <c r="B63" s="231"/>
      <c r="C63" s="231"/>
      <c r="D63" s="2"/>
      <c r="E63" s="2"/>
      <c r="F63" s="2"/>
      <c r="G63" s="2"/>
      <c r="H63" s="2"/>
      <c r="I63" s="2"/>
    </row>
    <row r="65" spans="1:9" ht="15.75" thickBot="1" x14ac:dyDescent="0.3">
      <c r="E65" s="255"/>
    </row>
    <row r="66" spans="1:9" ht="31.5" customHeight="1" thickBot="1" x14ac:dyDescent="0.3">
      <c r="A66" s="508" t="s">
        <v>160</v>
      </c>
      <c r="B66" s="520"/>
      <c r="C66" s="520"/>
      <c r="D66" s="520"/>
      <c r="E66" s="520"/>
      <c r="F66" s="520"/>
      <c r="G66" s="520"/>
      <c r="H66" s="521"/>
      <c r="I66" s="258"/>
    </row>
    <row r="67" spans="1:9" ht="30" x14ac:dyDescent="0.25">
      <c r="A67" s="528" t="s">
        <v>358</v>
      </c>
      <c r="B67" s="256" t="s">
        <v>155</v>
      </c>
      <c r="C67" s="256" t="s">
        <v>154</v>
      </c>
      <c r="D67" s="530" t="s">
        <v>91</v>
      </c>
      <c r="E67" s="530" t="s">
        <v>92</v>
      </c>
      <c r="F67" s="530" t="s">
        <v>93</v>
      </c>
      <c r="G67" s="532" t="s">
        <v>94</v>
      </c>
      <c r="H67" s="518" t="s">
        <v>159</v>
      </c>
      <c r="I67" s="259"/>
    </row>
    <row r="68" spans="1:9" ht="15.75" thickBot="1" x14ac:dyDescent="0.3">
      <c r="A68" s="529"/>
      <c r="B68" s="257" t="s">
        <v>156</v>
      </c>
      <c r="C68" s="257" t="s">
        <v>157</v>
      </c>
      <c r="D68" s="531"/>
      <c r="E68" s="531"/>
      <c r="F68" s="531"/>
      <c r="G68" s="533"/>
      <c r="H68" s="519"/>
      <c r="I68" s="259"/>
    </row>
    <row r="69" spans="1:9" ht="5.25" customHeight="1" thickBot="1" x14ac:dyDescent="0.3">
      <c r="A69" s="517"/>
      <c r="B69" s="517"/>
      <c r="C69" s="517"/>
      <c r="D69" s="517"/>
      <c r="E69" s="517"/>
      <c r="F69" s="517"/>
      <c r="G69" s="517"/>
    </row>
    <row r="70" spans="1:9" ht="24" customHeight="1" thickBot="1" x14ac:dyDescent="0.3">
      <c r="A70" s="264" t="s">
        <v>330</v>
      </c>
      <c r="B70" s="471" t="s">
        <v>359</v>
      </c>
      <c r="C70" s="471" t="s">
        <v>360</v>
      </c>
      <c r="D70" s="471" t="s">
        <v>362</v>
      </c>
      <c r="E70" s="471" t="s">
        <v>363</v>
      </c>
      <c r="F70" s="471" t="s">
        <v>361</v>
      </c>
      <c r="G70" s="428">
        <v>0.1027</v>
      </c>
      <c r="H70" s="265">
        <v>0.48780989368870653</v>
      </c>
    </row>
    <row r="71" spans="1:9" ht="3.75" customHeight="1" thickBot="1" x14ac:dyDescent="0.3">
      <c r="A71" s="468"/>
      <c r="B71" s="469"/>
      <c r="C71" s="469"/>
      <c r="D71" s="469"/>
      <c r="E71" s="469"/>
      <c r="F71" s="469"/>
      <c r="G71" s="470"/>
      <c r="H71" s="338"/>
      <c r="I71" s="255"/>
    </row>
    <row r="72" spans="1:9" ht="24" customHeight="1" x14ac:dyDescent="0.25">
      <c r="A72" s="238" t="s">
        <v>158</v>
      </c>
      <c r="B72" s="480" t="s">
        <v>342</v>
      </c>
      <c r="C72" s="480" t="s">
        <v>343</v>
      </c>
      <c r="D72" s="480" t="s">
        <v>344</v>
      </c>
      <c r="E72" s="480" t="s">
        <v>364</v>
      </c>
      <c r="F72" s="472" t="s">
        <v>351</v>
      </c>
      <c r="G72" s="424">
        <v>0.54200000000000004</v>
      </c>
      <c r="H72" s="246">
        <v>1.03888785643772</v>
      </c>
    </row>
    <row r="73" spans="1:9" ht="24" customHeight="1" x14ac:dyDescent="0.25">
      <c r="A73" s="473" t="s">
        <v>357</v>
      </c>
      <c r="B73" s="481" t="s">
        <v>345</v>
      </c>
      <c r="C73" s="481" t="s">
        <v>346</v>
      </c>
      <c r="D73" s="481" t="s">
        <v>347</v>
      </c>
      <c r="E73" s="481" t="s">
        <v>365</v>
      </c>
      <c r="F73" s="466" t="s">
        <v>352</v>
      </c>
      <c r="G73" s="467">
        <v>0.54720000000000002</v>
      </c>
      <c r="H73" s="474">
        <v>3.7649078777563884E-2</v>
      </c>
    </row>
    <row r="74" spans="1:9" ht="24" customHeight="1" x14ac:dyDescent="0.25">
      <c r="A74" s="475" t="s">
        <v>178</v>
      </c>
      <c r="B74" s="481" t="s">
        <v>348</v>
      </c>
      <c r="C74" s="481" t="s">
        <v>349</v>
      </c>
      <c r="D74" s="481" t="s">
        <v>350</v>
      </c>
      <c r="E74" s="481" t="s">
        <v>366</v>
      </c>
      <c r="F74" s="466" t="s">
        <v>353</v>
      </c>
      <c r="G74" s="467">
        <v>0.99460000000000004</v>
      </c>
      <c r="H74" s="474">
        <v>6.4343662014756965E-6</v>
      </c>
    </row>
    <row r="75" spans="1:9" ht="24" customHeight="1" thickBot="1" x14ac:dyDescent="0.3">
      <c r="A75" s="476" t="s">
        <v>179</v>
      </c>
      <c r="B75" s="482" t="s">
        <v>354</v>
      </c>
      <c r="C75" s="482" t="s">
        <v>355</v>
      </c>
      <c r="D75" s="482" t="s">
        <v>344</v>
      </c>
      <c r="E75" s="482" t="s">
        <v>367</v>
      </c>
      <c r="F75" s="477" t="s">
        <v>356</v>
      </c>
      <c r="G75" s="478">
        <v>0.53069999999999995</v>
      </c>
      <c r="H75" s="479">
        <v>4.1647623090836736E-2</v>
      </c>
    </row>
    <row r="76" spans="1:9" ht="3.75" customHeight="1" thickBot="1" x14ac:dyDescent="0.3">
      <c r="A76" s="255"/>
      <c r="B76" s="469"/>
      <c r="C76" s="469"/>
      <c r="D76" s="469"/>
      <c r="E76" s="469"/>
      <c r="F76" s="469"/>
      <c r="G76" s="337"/>
      <c r="H76" s="338"/>
    </row>
    <row r="77" spans="1:9" ht="24" customHeight="1" x14ac:dyDescent="0.25">
      <c r="A77" s="238" t="s">
        <v>329</v>
      </c>
      <c r="B77" s="480" t="s">
        <v>220</v>
      </c>
      <c r="C77" s="480" t="s">
        <v>221</v>
      </c>
      <c r="D77" s="480" t="s">
        <v>222</v>
      </c>
      <c r="E77" s="480" t="s">
        <v>223</v>
      </c>
      <c r="F77" s="483" t="s">
        <v>224</v>
      </c>
      <c r="G77" s="424">
        <v>0.99809999999999999</v>
      </c>
      <c r="H77" s="429">
        <v>1.1697976861770249E-6</v>
      </c>
    </row>
    <row r="78" spans="1:9" ht="24" customHeight="1" x14ac:dyDescent="0.25">
      <c r="A78" s="240" t="s">
        <v>185</v>
      </c>
      <c r="B78" s="465" t="s">
        <v>225</v>
      </c>
      <c r="C78" s="465" t="s">
        <v>226</v>
      </c>
      <c r="D78" s="465" t="s">
        <v>227</v>
      </c>
      <c r="E78" s="465" t="s">
        <v>228</v>
      </c>
      <c r="F78" s="465" t="s">
        <v>229</v>
      </c>
      <c r="G78" s="425">
        <v>8.3000000000000004E-2</v>
      </c>
      <c r="H78" s="247">
        <v>0.56522923241075773</v>
      </c>
    </row>
    <row r="79" spans="1:9" ht="24" customHeight="1" x14ac:dyDescent="0.25">
      <c r="A79" s="240" t="s">
        <v>186</v>
      </c>
      <c r="B79" s="465" t="s">
        <v>230</v>
      </c>
      <c r="C79" s="465" t="s">
        <v>231</v>
      </c>
      <c r="D79" s="465" t="s">
        <v>232</v>
      </c>
      <c r="E79" s="465" t="s">
        <v>233</v>
      </c>
      <c r="F79" s="465" t="s">
        <v>234</v>
      </c>
      <c r="G79" s="425">
        <v>0.21329999999999999</v>
      </c>
      <c r="H79" s="247">
        <v>0.24408440299855289</v>
      </c>
    </row>
    <row r="80" spans="1:9" ht="24" customHeight="1" x14ac:dyDescent="0.25">
      <c r="A80" s="240" t="s">
        <v>188</v>
      </c>
      <c r="B80" s="465" t="s">
        <v>235</v>
      </c>
      <c r="C80" s="465" t="s">
        <v>236</v>
      </c>
      <c r="D80" s="465" t="s">
        <v>237</v>
      </c>
      <c r="E80" s="465" t="s">
        <v>238</v>
      </c>
      <c r="F80" s="465" t="s">
        <v>239</v>
      </c>
      <c r="G80" s="425">
        <v>3.1099999999999999E-2</v>
      </c>
      <c r="H80" s="247">
        <v>0.92413582946205175</v>
      </c>
    </row>
    <row r="81" spans="1:8" ht="24" customHeight="1" x14ac:dyDescent="0.25">
      <c r="A81" s="240" t="s">
        <v>189</v>
      </c>
      <c r="B81" s="465" t="s">
        <v>240</v>
      </c>
      <c r="C81" s="465" t="s">
        <v>241</v>
      </c>
      <c r="D81" s="465" t="s">
        <v>242</v>
      </c>
      <c r="E81" s="465" t="s">
        <v>243</v>
      </c>
      <c r="F81" s="484" t="s">
        <v>244</v>
      </c>
      <c r="G81" s="426">
        <v>1</v>
      </c>
      <c r="H81" s="247">
        <v>6.5483737360629354E-17</v>
      </c>
    </row>
    <row r="82" spans="1:8" ht="24" customHeight="1" x14ac:dyDescent="0.25">
      <c r="A82" s="240" t="s">
        <v>187</v>
      </c>
      <c r="B82" s="465" t="s">
        <v>245</v>
      </c>
      <c r="C82" s="465" t="s">
        <v>246</v>
      </c>
      <c r="D82" s="465" t="s">
        <v>247</v>
      </c>
      <c r="E82" s="465" t="s">
        <v>248</v>
      </c>
      <c r="F82" s="484" t="s">
        <v>249</v>
      </c>
      <c r="G82" s="425">
        <v>0.9012</v>
      </c>
      <c r="H82" s="247">
        <v>1.162286280599891E-3</v>
      </c>
    </row>
    <row r="83" spans="1:8" ht="24" customHeight="1" x14ac:dyDescent="0.25">
      <c r="A83" s="240" t="s">
        <v>190</v>
      </c>
      <c r="B83" s="465" t="s">
        <v>250</v>
      </c>
      <c r="C83" s="465" t="s">
        <v>251</v>
      </c>
      <c r="D83" s="465" t="s">
        <v>252</v>
      </c>
      <c r="E83" s="465" t="s">
        <v>253</v>
      </c>
      <c r="F83" s="465" t="s">
        <v>254</v>
      </c>
      <c r="G83" s="425">
        <v>4.58E-2</v>
      </c>
      <c r="H83" s="247">
        <v>0.78520357954385633</v>
      </c>
    </row>
    <row r="84" spans="1:8" ht="24" customHeight="1" x14ac:dyDescent="0.25">
      <c r="A84" s="240" t="s">
        <v>270</v>
      </c>
      <c r="B84" s="465" t="s">
        <v>255</v>
      </c>
      <c r="C84" s="465" t="s">
        <v>256</v>
      </c>
      <c r="D84" s="465" t="s">
        <v>257</v>
      </c>
      <c r="E84" s="465" t="s">
        <v>258</v>
      </c>
      <c r="F84" s="465" t="s">
        <v>259</v>
      </c>
      <c r="G84" s="425">
        <v>0.45540000000000003</v>
      </c>
      <c r="H84" s="247">
        <v>6.4616237686956499E-2</v>
      </c>
    </row>
    <row r="85" spans="1:8" ht="24" customHeight="1" x14ac:dyDescent="0.25">
      <c r="A85" s="240" t="s">
        <v>327</v>
      </c>
      <c r="B85" s="465" t="s">
        <v>260</v>
      </c>
      <c r="C85" s="465" t="s">
        <v>261</v>
      </c>
      <c r="D85" s="465" t="s">
        <v>262</v>
      </c>
      <c r="E85" s="465" t="s">
        <v>263</v>
      </c>
      <c r="F85" s="465" t="s">
        <v>264</v>
      </c>
      <c r="G85" s="425">
        <v>0.51910000000000001</v>
      </c>
      <c r="H85" s="247">
        <v>4.4658389338862799E-2</v>
      </c>
    </row>
    <row r="86" spans="1:8" ht="24" customHeight="1" x14ac:dyDescent="0.25">
      <c r="A86" s="240" t="s">
        <v>328</v>
      </c>
      <c r="B86" s="465" t="s">
        <v>265</v>
      </c>
      <c r="C86" s="465" t="s">
        <v>266</v>
      </c>
      <c r="D86" s="465" t="s">
        <v>267</v>
      </c>
      <c r="E86" s="465" t="s">
        <v>268</v>
      </c>
      <c r="F86" s="465" t="s">
        <v>269</v>
      </c>
      <c r="G86" s="425">
        <v>2.5999999999999999E-2</v>
      </c>
      <c r="H86" s="247">
        <v>0.98627528193976743</v>
      </c>
    </row>
    <row r="87" spans="1:8" ht="24" customHeight="1" thickBot="1" x14ac:dyDescent="0.3">
      <c r="A87" s="241" t="s">
        <v>271</v>
      </c>
      <c r="B87" s="485" t="s">
        <v>272</v>
      </c>
      <c r="C87" s="485" t="s">
        <v>273</v>
      </c>
      <c r="D87" s="485" t="s">
        <v>274</v>
      </c>
      <c r="E87" s="485" t="s">
        <v>275</v>
      </c>
      <c r="F87" s="485" t="s">
        <v>276</v>
      </c>
      <c r="G87" s="427">
        <v>3.6400000000000002E-2</v>
      </c>
      <c r="H87" s="248">
        <v>0.86814598815946931</v>
      </c>
    </row>
    <row r="88" spans="1:8" ht="20.100000000000001" customHeight="1" x14ac:dyDescent="0.25"/>
    <row r="89" spans="1:8" ht="20.100000000000001" customHeight="1" x14ac:dyDescent="0.25"/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</sheetData>
  <mergeCells count="11">
    <mergeCell ref="A69:G69"/>
    <mergeCell ref="H67:H68"/>
    <mergeCell ref="A66:H66"/>
    <mergeCell ref="A2:I2"/>
    <mergeCell ref="A3:I3"/>
    <mergeCell ref="B44:C44"/>
    <mergeCell ref="A67:A68"/>
    <mergeCell ref="D67:D68"/>
    <mergeCell ref="E67:E68"/>
    <mergeCell ref="F67:F68"/>
    <mergeCell ref="G67:G6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0" zoomScaleNormal="110" workbookViewId="0">
      <selection activeCell="A10" sqref="A10"/>
    </sheetView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3.42578125" style="2" customWidth="1"/>
    <col min="8" max="8" width="12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3" customHeight="1" thickBot="1" x14ac:dyDescent="0.25"/>
    <row r="2" spans="1:10" ht="16.5" thickBot="1" x14ac:dyDescent="0.3">
      <c r="A2" s="436" t="s">
        <v>337</v>
      </c>
      <c r="B2" s="437"/>
      <c r="C2" s="437"/>
      <c r="D2" s="437"/>
      <c r="E2" s="437"/>
      <c r="F2" s="437"/>
      <c r="G2" s="437"/>
      <c r="H2" s="437"/>
      <c r="I2" s="438"/>
    </row>
    <row r="3" spans="1:10" ht="5.25" customHeight="1" x14ac:dyDescent="0.2"/>
    <row r="4" spans="1:10" ht="15" x14ac:dyDescent="0.25">
      <c r="A4" s="1" t="s">
        <v>0</v>
      </c>
    </row>
    <row r="5" spans="1:10" ht="15" x14ac:dyDescent="0.25">
      <c r="A5" s="3" t="s">
        <v>1</v>
      </c>
    </row>
    <row r="6" spans="1:10" x14ac:dyDescent="0.2">
      <c r="B6" s="449" t="s">
        <v>2</v>
      </c>
      <c r="F6" s="5" t="s">
        <v>3</v>
      </c>
      <c r="G6" s="4" t="s">
        <v>4</v>
      </c>
    </row>
    <row r="7" spans="1:10" x14ac:dyDescent="0.2">
      <c r="A7" s="2">
        <v>1</v>
      </c>
      <c r="B7" s="4">
        <v>18528</v>
      </c>
      <c r="F7" s="4">
        <v>1</v>
      </c>
      <c r="G7" s="4">
        <v>48</v>
      </c>
    </row>
    <row r="8" spans="1:10" x14ac:dyDescent="0.2">
      <c r="A8" s="2">
        <v>2</v>
      </c>
      <c r="B8" s="4">
        <v>17548</v>
      </c>
      <c r="F8" s="440"/>
      <c r="G8" s="441" t="s">
        <v>338</v>
      </c>
      <c r="H8" s="442">
        <f>G7*F7</f>
        <v>48</v>
      </c>
      <c r="I8" s="443" t="str">
        <f>G6</f>
        <v>meses</v>
      </c>
    </row>
    <row r="9" spans="1:10" x14ac:dyDescent="0.2">
      <c r="A9" s="2">
        <v>3</v>
      </c>
      <c r="B9" s="4">
        <v>17394</v>
      </c>
    </row>
    <row r="11" spans="1:10" ht="25.5" x14ac:dyDescent="0.2">
      <c r="D11" s="434" t="s">
        <v>2</v>
      </c>
      <c r="E11" s="448" t="s">
        <v>341</v>
      </c>
      <c r="F11" s="8"/>
      <c r="H11" s="448" t="s">
        <v>331</v>
      </c>
      <c r="I11" s="8"/>
    </row>
    <row r="12" spans="1:10" x14ac:dyDescent="0.2">
      <c r="C12" s="6" t="s">
        <v>340</v>
      </c>
      <c r="D12" s="7">
        <f>B7</f>
        <v>18528</v>
      </c>
      <c r="E12" s="439">
        <f>H8</f>
        <v>48</v>
      </c>
      <c r="F12" s="8" t="str">
        <f>G6</f>
        <v>meses</v>
      </c>
      <c r="H12" s="9">
        <f>G7-E12</f>
        <v>0</v>
      </c>
      <c r="I12" s="7" t="str">
        <f>G6</f>
        <v>meses</v>
      </c>
    </row>
    <row r="13" spans="1:10" x14ac:dyDescent="0.2">
      <c r="C13" s="6" t="s">
        <v>5</v>
      </c>
      <c r="D13" s="7">
        <f>B8</f>
        <v>17548</v>
      </c>
      <c r="E13" s="10">
        <f>D13*E12/D12</f>
        <v>45.461139896373055</v>
      </c>
      <c r="F13" s="8" t="str">
        <f>G6</f>
        <v>meses</v>
      </c>
      <c r="H13" s="9">
        <f>G7-E13</f>
        <v>2.5388601036269449</v>
      </c>
      <c r="I13" s="7" t="str">
        <f>G6</f>
        <v>meses</v>
      </c>
    </row>
    <row r="14" spans="1:10" x14ac:dyDescent="0.2">
      <c r="C14" s="6" t="s">
        <v>6</v>
      </c>
      <c r="D14" s="7">
        <f>B9</f>
        <v>17394</v>
      </c>
      <c r="E14" s="10">
        <f>D14*E12/D12</f>
        <v>45.062176165803109</v>
      </c>
      <c r="F14" s="8" t="str">
        <f>G6</f>
        <v>meses</v>
      </c>
      <c r="H14" s="9">
        <f>G7-E14</f>
        <v>2.937823834196891</v>
      </c>
      <c r="I14" s="9" t="str">
        <f>G6</f>
        <v>meses</v>
      </c>
    </row>
    <row r="15" spans="1:10" x14ac:dyDescent="0.2">
      <c r="I15" s="11"/>
    </row>
    <row r="16" spans="1:10" x14ac:dyDescent="0.2">
      <c r="E16" s="12" t="s">
        <v>7</v>
      </c>
      <c r="F16" s="13">
        <f>E13-E14</f>
        <v>0.39896373056994605</v>
      </c>
      <c r="G16" s="14" t="str">
        <f>F13</f>
        <v>meses</v>
      </c>
      <c r="H16" s="14" t="s">
        <v>8</v>
      </c>
      <c r="I16" s="15">
        <f>H8</f>
        <v>48</v>
      </c>
      <c r="J16" s="16" t="str">
        <f>G6</f>
        <v>meses</v>
      </c>
    </row>
    <row r="17" spans="1:11" x14ac:dyDescent="0.2">
      <c r="E17" s="17"/>
      <c r="F17" s="18">
        <f>F16*(365.25/12)</f>
        <v>12.143458549222732</v>
      </c>
      <c r="G17" s="447" t="s">
        <v>9</v>
      </c>
      <c r="H17" s="19" t="s">
        <v>10</v>
      </c>
      <c r="I17" s="20">
        <f>H8</f>
        <v>48</v>
      </c>
      <c r="J17" s="21" t="str">
        <f>G6</f>
        <v>meses</v>
      </c>
    </row>
    <row r="18" spans="1:11" ht="13.5" thickBot="1" x14ac:dyDescent="0.25"/>
    <row r="19" spans="1:11" ht="18.75" customHeight="1" thickBot="1" x14ac:dyDescent="0.25">
      <c r="A19" s="537" t="s">
        <v>369</v>
      </c>
      <c r="B19" s="538"/>
      <c r="C19" s="538"/>
      <c r="D19" s="538"/>
      <c r="E19" s="538"/>
      <c r="F19" s="539"/>
      <c r="I19" s="11"/>
    </row>
    <row r="20" spans="1:11" ht="19.5" customHeight="1" x14ac:dyDescent="0.2">
      <c r="A20" s="444"/>
      <c r="B20" s="451" t="str">
        <f>C13</f>
        <v>Pertuzumab</v>
      </c>
      <c r="C20" s="451" t="str">
        <f>C14</f>
        <v>Placebo</v>
      </c>
      <c r="D20" s="452"/>
      <c r="E20" s="452"/>
      <c r="F20" s="452"/>
      <c r="H20" s="435"/>
      <c r="I20" s="435"/>
      <c r="J20" s="435"/>
      <c r="K20" s="435"/>
    </row>
    <row r="21" spans="1:11" ht="28.5" customHeight="1" x14ac:dyDescent="0.2">
      <c r="A21" s="445" t="s">
        <v>339</v>
      </c>
      <c r="B21" s="453" t="s">
        <v>334</v>
      </c>
      <c r="C21" s="454" t="s">
        <v>334</v>
      </c>
      <c r="D21" s="453" t="s">
        <v>335</v>
      </c>
      <c r="E21" s="452"/>
      <c r="F21" s="453" t="s">
        <v>336</v>
      </c>
      <c r="I21" s="11"/>
    </row>
    <row r="22" spans="1:11" ht="21" customHeight="1" x14ac:dyDescent="0.2">
      <c r="A22" s="446" t="str">
        <f>CONCATENATE(H8," ",G6)</f>
        <v>48 meses</v>
      </c>
      <c r="B22" s="455" t="str">
        <f>F13</f>
        <v>meses</v>
      </c>
      <c r="C22" s="456" t="str">
        <f>F13</f>
        <v>meses</v>
      </c>
      <c r="D22" s="455" t="str">
        <f>G16</f>
        <v>meses</v>
      </c>
      <c r="E22" s="457"/>
      <c r="F22" s="455" t="str">
        <f>G17</f>
        <v>días</v>
      </c>
    </row>
    <row r="23" spans="1:11" s="36" customFormat="1" ht="3.75" customHeight="1" x14ac:dyDescent="0.2">
      <c r="A23" s="450"/>
      <c r="B23" s="452"/>
      <c r="C23" s="452"/>
      <c r="D23" s="452"/>
      <c r="E23" s="458"/>
      <c r="F23" s="452"/>
    </row>
    <row r="24" spans="1:11" ht="20.25" customHeight="1" x14ac:dyDescent="0.2">
      <c r="A24" s="459" t="s">
        <v>333</v>
      </c>
      <c r="B24" s="460">
        <f>E13</f>
        <v>45.461139896373055</v>
      </c>
      <c r="C24" s="460">
        <f>E14</f>
        <v>45.062176165803109</v>
      </c>
      <c r="D24" s="460">
        <f>F16</f>
        <v>0.39896373056994605</v>
      </c>
      <c r="E24" s="457"/>
      <c r="F24" s="461">
        <f>F17</f>
        <v>12.143458549222732</v>
      </c>
    </row>
    <row r="25" spans="1:11" ht="3" customHeight="1" x14ac:dyDescent="0.2">
      <c r="A25" s="462"/>
      <c r="B25" s="463"/>
      <c r="C25" s="463"/>
      <c r="D25" s="463"/>
      <c r="E25" s="457"/>
      <c r="F25" s="464"/>
    </row>
    <row r="26" spans="1:11" ht="18" customHeight="1" x14ac:dyDescent="0.2">
      <c r="A26" s="534" t="s">
        <v>332</v>
      </c>
      <c r="B26" s="535"/>
      <c r="C26" s="535"/>
      <c r="D26" s="535"/>
      <c r="E26" s="535"/>
      <c r="F26" s="536"/>
    </row>
  </sheetData>
  <mergeCells count="2">
    <mergeCell ref="A26:F26"/>
    <mergeCell ref="A19:F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zoomScaleNormal="100" workbookViewId="0"/>
  </sheetViews>
  <sheetFormatPr baseColWidth="10" defaultRowHeight="15" x14ac:dyDescent="0.25"/>
  <cols>
    <col min="1" max="1" width="2.28515625" customWidth="1"/>
    <col min="2" max="2" width="48.85546875" customWidth="1"/>
    <col min="3" max="3" width="33.42578125" customWidth="1"/>
    <col min="4" max="4" width="19.5703125" customWidth="1"/>
    <col min="5" max="5" width="27.28515625" customWidth="1"/>
  </cols>
  <sheetData>
    <row r="1" spans="2:5" ht="15.75" thickBot="1" x14ac:dyDescent="0.3"/>
    <row r="2" spans="2:5" ht="23.25" customHeight="1" thickBot="1" x14ac:dyDescent="0.3">
      <c r="B2" s="556" t="s">
        <v>368</v>
      </c>
      <c r="C2" s="557"/>
      <c r="D2" s="558"/>
      <c r="E2" s="261"/>
    </row>
    <row r="3" spans="2:5" ht="27" customHeight="1" thickBot="1" x14ac:dyDescent="0.3">
      <c r="B3" s="261"/>
      <c r="C3" s="486" t="s">
        <v>312</v>
      </c>
      <c r="D3" s="487" t="s">
        <v>313</v>
      </c>
      <c r="E3" s="261"/>
    </row>
    <row r="4" spans="2:5" ht="18" customHeight="1" x14ac:dyDescent="0.25">
      <c r="B4" s="488" t="s">
        <v>314</v>
      </c>
      <c r="C4" s="489" t="s">
        <v>324</v>
      </c>
      <c r="D4" s="490" t="s">
        <v>315</v>
      </c>
      <c r="E4" s="261"/>
    </row>
    <row r="5" spans="2:5" ht="18" customHeight="1" x14ac:dyDescent="0.25">
      <c r="B5" s="491" t="s">
        <v>316</v>
      </c>
      <c r="C5" s="492" t="s">
        <v>318</v>
      </c>
      <c r="D5" s="493" t="s">
        <v>325</v>
      </c>
      <c r="E5" s="261"/>
    </row>
    <row r="6" spans="2:5" ht="18" customHeight="1" x14ac:dyDescent="0.25">
      <c r="B6" s="491" t="s">
        <v>317</v>
      </c>
      <c r="C6" s="492" t="s">
        <v>319</v>
      </c>
      <c r="D6" s="493" t="s">
        <v>326</v>
      </c>
      <c r="E6" s="261"/>
    </row>
    <row r="7" spans="2:5" ht="18" customHeight="1" x14ac:dyDescent="0.25">
      <c r="B7" s="549" t="s">
        <v>377</v>
      </c>
      <c r="C7" s="492" t="s">
        <v>379</v>
      </c>
      <c r="D7" s="494" t="s">
        <v>315</v>
      </c>
      <c r="E7" s="261"/>
    </row>
    <row r="8" spans="2:5" ht="18" customHeight="1" x14ac:dyDescent="0.25">
      <c r="B8" s="549"/>
      <c r="C8" s="492" t="s">
        <v>378</v>
      </c>
      <c r="D8" s="494" t="s">
        <v>315</v>
      </c>
      <c r="E8" s="261"/>
    </row>
    <row r="9" spans="2:5" ht="30" x14ac:dyDescent="0.25">
      <c r="B9" s="495" t="s">
        <v>372</v>
      </c>
      <c r="C9" s="492" t="s">
        <v>320</v>
      </c>
      <c r="D9" s="494" t="s">
        <v>315</v>
      </c>
      <c r="E9" s="261"/>
    </row>
    <row r="10" spans="2:5" ht="34.5" customHeight="1" thickBot="1" x14ac:dyDescent="0.3">
      <c r="B10" s="496" t="s">
        <v>376</v>
      </c>
      <c r="C10" s="497" t="s">
        <v>320</v>
      </c>
      <c r="D10" s="498" t="s">
        <v>321</v>
      </c>
      <c r="E10" s="261"/>
    </row>
    <row r="11" spans="2:5" ht="6" customHeight="1" x14ac:dyDescent="0.25">
      <c r="B11" s="261"/>
      <c r="C11" s="261"/>
      <c r="D11" s="261"/>
      <c r="E11" s="261"/>
    </row>
    <row r="12" spans="2:5" x14ac:dyDescent="0.25">
      <c r="B12" s="550" t="s">
        <v>323</v>
      </c>
      <c r="C12" s="551"/>
      <c r="D12" s="552"/>
      <c r="E12" s="261"/>
    </row>
    <row r="13" spans="2:5" ht="17.25" x14ac:dyDescent="0.25">
      <c r="B13" s="553" t="s">
        <v>322</v>
      </c>
      <c r="C13" s="554"/>
      <c r="D13" s="555"/>
      <c r="E13" s="261"/>
    </row>
    <row r="14" spans="2:5" ht="13.5" customHeight="1" x14ac:dyDescent="0.25">
      <c r="B14" s="261"/>
      <c r="C14" s="261"/>
      <c r="D14" s="261"/>
      <c r="E14" s="261"/>
    </row>
    <row r="15" spans="2:5" ht="24.75" customHeight="1" x14ac:dyDescent="0.25">
      <c r="B15" s="499" t="s">
        <v>383</v>
      </c>
      <c r="C15" s="261"/>
      <c r="D15" s="261"/>
      <c r="E15" s="261"/>
    </row>
    <row r="16" spans="2:5" ht="45" x14ac:dyDescent="0.25">
      <c r="B16" s="500" t="s">
        <v>373</v>
      </c>
      <c r="C16" s="501" t="s">
        <v>374</v>
      </c>
      <c r="D16" s="502" t="s">
        <v>381</v>
      </c>
      <c r="E16" s="502" t="s">
        <v>384</v>
      </c>
    </row>
    <row r="17" spans="2:5" ht="30" x14ac:dyDescent="0.25">
      <c r="B17" s="503" t="s">
        <v>375</v>
      </c>
      <c r="C17" s="504" t="s">
        <v>380</v>
      </c>
      <c r="D17" s="505" t="s">
        <v>320</v>
      </c>
      <c r="E17" s="504" t="s">
        <v>382</v>
      </c>
    </row>
  </sheetData>
  <mergeCells count="4">
    <mergeCell ref="B7:B8"/>
    <mergeCell ref="B12:D12"/>
    <mergeCell ref="B13:D13"/>
    <mergeCell ref="B2:D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zoomScale="85" zoomScaleNormal="85" workbookViewId="0">
      <selection activeCell="B11" sqref="B11"/>
    </sheetView>
  </sheetViews>
  <sheetFormatPr baseColWidth="10" defaultRowHeight="15" x14ac:dyDescent="0.25"/>
  <cols>
    <col min="1" max="1" width="4.42578125" customWidth="1"/>
    <col min="2" max="2" width="48.85546875" customWidth="1"/>
    <col min="3" max="4" width="20.85546875" customWidth="1"/>
    <col min="5" max="5" width="13.85546875" customWidth="1"/>
  </cols>
  <sheetData>
    <row r="1" spans="2:5" ht="15.75" thickBot="1" x14ac:dyDescent="0.3"/>
    <row r="2" spans="2:5" ht="26.1" customHeight="1" thickBot="1" x14ac:dyDescent="0.3">
      <c r="B2" s="508" t="s">
        <v>96</v>
      </c>
      <c r="C2" s="509"/>
      <c r="D2" s="509"/>
      <c r="E2" s="510"/>
    </row>
    <row r="3" spans="2:5" ht="41.1" customHeight="1" thickBot="1" x14ac:dyDescent="0.3">
      <c r="B3" s="234" t="s">
        <v>97</v>
      </c>
      <c r="C3" s="235" t="s">
        <v>99</v>
      </c>
      <c r="D3" s="236" t="s">
        <v>100</v>
      </c>
      <c r="E3" s="237" t="s">
        <v>98</v>
      </c>
    </row>
    <row r="4" spans="2:5" ht="20.100000000000001" customHeight="1" thickBot="1" x14ac:dyDescent="0.3">
      <c r="B4" s="260" t="s">
        <v>371</v>
      </c>
      <c r="C4" s="261"/>
      <c r="D4" s="261"/>
      <c r="E4" s="261"/>
    </row>
    <row r="5" spans="2:5" s="243" customFormat="1" ht="20.100000000000001" customHeight="1" x14ac:dyDescent="0.25">
      <c r="B5" s="249" t="s">
        <v>101</v>
      </c>
      <c r="C5" s="242" t="s">
        <v>105</v>
      </c>
      <c r="D5" s="242" t="s">
        <v>106</v>
      </c>
      <c r="E5" s="246">
        <v>0.63513275141882275</v>
      </c>
    </row>
    <row r="6" spans="2:5" s="243" customFormat="1" ht="20.100000000000001" customHeight="1" x14ac:dyDescent="0.25">
      <c r="B6" s="250" t="s">
        <v>102</v>
      </c>
      <c r="C6" s="244" t="s">
        <v>107</v>
      </c>
      <c r="D6" s="244" t="s">
        <v>108</v>
      </c>
      <c r="E6" s="247">
        <v>0.76861669987577352</v>
      </c>
    </row>
    <row r="7" spans="2:5" s="243" customFormat="1" ht="20.100000000000001" customHeight="1" x14ac:dyDescent="0.25">
      <c r="B7" s="250" t="s">
        <v>103</v>
      </c>
      <c r="C7" s="244" t="s">
        <v>109</v>
      </c>
      <c r="D7" s="244" t="s">
        <v>110</v>
      </c>
      <c r="E7" s="247">
        <v>0.80003781188881606</v>
      </c>
    </row>
    <row r="8" spans="2:5" s="243" customFormat="1" ht="20.100000000000001" customHeight="1" thickBot="1" x14ac:dyDescent="0.3">
      <c r="B8" s="251" t="s">
        <v>104</v>
      </c>
      <c r="C8" s="245" t="s">
        <v>111</v>
      </c>
      <c r="D8" s="245" t="s">
        <v>112</v>
      </c>
      <c r="E8" s="248">
        <v>0.86751192948937339</v>
      </c>
    </row>
    <row r="9" spans="2:5" ht="20.100000000000001" customHeight="1" thickBot="1" x14ac:dyDescent="0.3">
      <c r="B9" s="262" t="s">
        <v>113</v>
      </c>
      <c r="C9" s="261"/>
      <c r="D9" s="261"/>
      <c r="E9" s="261"/>
    </row>
    <row r="10" spans="2:5" s="239" customFormat="1" ht="20.100000000000001" customHeight="1" x14ac:dyDescent="0.25">
      <c r="B10" s="238" t="s">
        <v>114</v>
      </c>
      <c r="C10" s="242" t="s">
        <v>115</v>
      </c>
      <c r="D10" s="242" t="s">
        <v>116</v>
      </c>
      <c r="E10" s="246">
        <v>0.75740246440399184</v>
      </c>
    </row>
    <row r="11" spans="2:5" s="239" customFormat="1" ht="20.100000000000001" customHeight="1" thickBot="1" x14ac:dyDescent="0.3">
      <c r="B11" s="241" t="s">
        <v>370</v>
      </c>
      <c r="C11" s="245" t="s">
        <v>117</v>
      </c>
      <c r="D11" s="245" t="s">
        <v>118</v>
      </c>
      <c r="E11" s="248">
        <v>0.75740246440399184</v>
      </c>
    </row>
    <row r="12" spans="2:5" ht="20.100000000000001" customHeight="1" thickBot="1" x14ac:dyDescent="0.3">
      <c r="B12" s="260" t="s">
        <v>152</v>
      </c>
      <c r="C12" s="261"/>
      <c r="D12" s="261"/>
      <c r="E12" s="261"/>
    </row>
    <row r="13" spans="2:5" ht="20.100000000000001" customHeight="1" x14ac:dyDescent="0.25">
      <c r="B13" s="238" t="s">
        <v>119</v>
      </c>
      <c r="C13" s="242" t="s">
        <v>121</v>
      </c>
      <c r="D13" s="242" t="s">
        <v>122</v>
      </c>
      <c r="E13" s="246">
        <v>0.82302523403218386</v>
      </c>
    </row>
    <row r="14" spans="2:5" ht="20.100000000000001" customHeight="1" thickBot="1" x14ac:dyDescent="0.3">
      <c r="B14" s="241" t="s">
        <v>120</v>
      </c>
      <c r="C14" s="245" t="s">
        <v>123</v>
      </c>
      <c r="D14" s="245" t="s">
        <v>124</v>
      </c>
      <c r="E14" s="248">
        <v>0.82302523403218386</v>
      </c>
    </row>
    <row r="15" spans="2:5" ht="20.100000000000001" customHeight="1" thickBot="1" x14ac:dyDescent="0.3">
      <c r="B15" s="263" t="s">
        <v>125</v>
      </c>
      <c r="C15" s="261"/>
      <c r="D15" s="261"/>
      <c r="E15" s="261"/>
    </row>
    <row r="16" spans="2:5" ht="20.100000000000001" customHeight="1" x14ac:dyDescent="0.25">
      <c r="B16" s="238" t="s">
        <v>126</v>
      </c>
      <c r="C16" s="242" t="s">
        <v>128</v>
      </c>
      <c r="D16" s="242" t="s">
        <v>129</v>
      </c>
      <c r="E16" s="252">
        <v>0.89122684321511669</v>
      </c>
    </row>
    <row r="17" spans="2:5" ht="20.100000000000001" customHeight="1" thickBot="1" x14ac:dyDescent="0.3">
      <c r="B17" s="241" t="s">
        <v>127</v>
      </c>
      <c r="C17" s="245" t="s">
        <v>130</v>
      </c>
      <c r="D17" s="245" t="s">
        <v>131</v>
      </c>
      <c r="E17" s="253">
        <v>0.89122684321511669</v>
      </c>
    </row>
    <row r="18" spans="2:5" ht="20.100000000000001" customHeight="1" thickBot="1" x14ac:dyDescent="0.3">
      <c r="B18" s="263" t="s">
        <v>132</v>
      </c>
      <c r="C18" s="261"/>
      <c r="D18" s="261"/>
      <c r="E18" s="261"/>
    </row>
    <row r="19" spans="2:5" ht="20.100000000000001" customHeight="1" x14ac:dyDescent="0.25">
      <c r="B19" s="238" t="s">
        <v>133</v>
      </c>
      <c r="C19" s="242" t="s">
        <v>136</v>
      </c>
      <c r="D19" s="242" t="s">
        <v>137</v>
      </c>
      <c r="E19" s="252">
        <v>0.98467432549449951</v>
      </c>
    </row>
    <row r="20" spans="2:5" ht="20.100000000000001" customHeight="1" x14ac:dyDescent="0.25">
      <c r="B20" s="240" t="s">
        <v>134</v>
      </c>
      <c r="C20" s="244" t="s">
        <v>138</v>
      </c>
      <c r="D20" s="244" t="s">
        <v>139</v>
      </c>
      <c r="E20" s="254">
        <v>0.46965123859940855</v>
      </c>
    </row>
    <row r="21" spans="2:5" ht="20.100000000000001" customHeight="1" thickBot="1" x14ac:dyDescent="0.3">
      <c r="B21" s="241" t="s">
        <v>135</v>
      </c>
      <c r="C21" s="245" t="s">
        <v>140</v>
      </c>
      <c r="D21" s="245" t="s">
        <v>141</v>
      </c>
      <c r="E21" s="248">
        <v>0.32874668370422894</v>
      </c>
    </row>
    <row r="22" spans="2:5" ht="20.100000000000001" customHeight="1" thickBot="1" x14ac:dyDescent="0.3">
      <c r="B22" s="263" t="s">
        <v>142</v>
      </c>
      <c r="C22" s="261"/>
      <c r="D22" s="261"/>
      <c r="E22" s="261"/>
    </row>
    <row r="23" spans="2:5" ht="20.100000000000001" customHeight="1" x14ac:dyDescent="0.25">
      <c r="B23" s="238" t="s">
        <v>143</v>
      </c>
      <c r="C23" s="242" t="s">
        <v>146</v>
      </c>
      <c r="D23" s="242" t="s">
        <v>147</v>
      </c>
      <c r="E23" s="252">
        <v>0.35216862834543677</v>
      </c>
    </row>
    <row r="24" spans="2:5" ht="20.100000000000001" customHeight="1" x14ac:dyDescent="0.25">
      <c r="B24" s="240" t="s">
        <v>144</v>
      </c>
      <c r="C24" s="244" t="s">
        <v>148</v>
      </c>
      <c r="D24" s="244" t="s">
        <v>149</v>
      </c>
      <c r="E24" s="254">
        <v>0.86521202818755749</v>
      </c>
    </row>
    <row r="25" spans="2:5" ht="20.100000000000001" customHeight="1" thickBot="1" x14ac:dyDescent="0.3">
      <c r="B25" s="241" t="s">
        <v>145</v>
      </c>
      <c r="C25" s="245" t="s">
        <v>150</v>
      </c>
      <c r="D25" s="245" t="s">
        <v>151</v>
      </c>
      <c r="E25" s="248">
        <v>0.12244999493756355</v>
      </c>
    </row>
    <row r="26" spans="2:5" ht="20.100000000000001" customHeight="1" x14ac:dyDescent="0.25">
      <c r="B26" s="511" t="s">
        <v>153</v>
      </c>
      <c r="C26" s="512"/>
      <c r="D26" s="512"/>
      <c r="E26" s="513"/>
    </row>
    <row r="27" spans="2:5" ht="20.100000000000001" customHeight="1" thickBot="1" x14ac:dyDescent="0.3">
      <c r="B27" s="514"/>
      <c r="C27" s="515"/>
      <c r="D27" s="515"/>
      <c r="E27" s="516"/>
    </row>
    <row r="28" spans="2:5" ht="20.100000000000001" customHeight="1" x14ac:dyDescent="0.25"/>
    <row r="29" spans="2:5" ht="20.100000000000001" customHeight="1" x14ac:dyDescent="0.25"/>
  </sheetData>
  <mergeCells count="2">
    <mergeCell ref="B2:E2"/>
    <mergeCell ref="B26:E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zoomScaleNormal="100" workbookViewId="0">
      <selection activeCell="C29" sqref="C29"/>
    </sheetView>
  </sheetViews>
  <sheetFormatPr baseColWidth="10" defaultColWidth="25.28515625" defaultRowHeight="15" x14ac:dyDescent="0.25"/>
  <cols>
    <col min="1" max="1" width="1.7109375" customWidth="1"/>
    <col min="2" max="2" width="27" customWidth="1"/>
    <col min="3" max="3" width="17.28515625" customWidth="1"/>
    <col min="4" max="4" width="10.7109375" customWidth="1"/>
    <col min="5" max="5" width="10.28515625" customWidth="1"/>
    <col min="6" max="6" width="3.140625" customWidth="1"/>
    <col min="7" max="7" width="12.42578125" customWidth="1"/>
    <col min="8" max="9" width="11.42578125" customWidth="1"/>
    <col min="10" max="10" width="23.42578125" customWidth="1"/>
    <col min="11" max="11" width="1" customWidth="1"/>
    <col min="12" max="12" width="5.140625" customWidth="1"/>
    <col min="13" max="255" width="11.42578125" customWidth="1"/>
    <col min="257" max="257" width="1.7109375" customWidth="1"/>
    <col min="258" max="258" width="27" customWidth="1"/>
    <col min="259" max="259" width="17.28515625" customWidth="1"/>
    <col min="260" max="260" width="10.7109375" customWidth="1"/>
    <col min="261" max="261" width="10.28515625" customWidth="1"/>
    <col min="262" max="262" width="3.140625" customWidth="1"/>
    <col min="263" max="263" width="12.42578125" customWidth="1"/>
    <col min="264" max="265" width="11.42578125" customWidth="1"/>
    <col min="266" max="266" width="23.42578125" customWidth="1"/>
    <col min="267" max="267" width="1" customWidth="1"/>
    <col min="268" max="268" width="5.140625" customWidth="1"/>
    <col min="269" max="511" width="11.42578125" customWidth="1"/>
    <col min="513" max="513" width="1.7109375" customWidth="1"/>
    <col min="514" max="514" width="27" customWidth="1"/>
    <col min="515" max="515" width="17.28515625" customWidth="1"/>
    <col min="516" max="516" width="10.7109375" customWidth="1"/>
    <col min="517" max="517" width="10.28515625" customWidth="1"/>
    <col min="518" max="518" width="3.140625" customWidth="1"/>
    <col min="519" max="519" width="12.42578125" customWidth="1"/>
    <col min="520" max="521" width="11.42578125" customWidth="1"/>
    <col min="522" max="522" width="23.42578125" customWidth="1"/>
    <col min="523" max="523" width="1" customWidth="1"/>
    <col min="524" max="524" width="5.140625" customWidth="1"/>
    <col min="525" max="767" width="11.42578125" customWidth="1"/>
    <col min="769" max="769" width="1.7109375" customWidth="1"/>
    <col min="770" max="770" width="27" customWidth="1"/>
    <col min="771" max="771" width="17.28515625" customWidth="1"/>
    <col min="772" max="772" width="10.7109375" customWidth="1"/>
    <col min="773" max="773" width="10.28515625" customWidth="1"/>
    <col min="774" max="774" width="3.140625" customWidth="1"/>
    <col min="775" max="775" width="12.42578125" customWidth="1"/>
    <col min="776" max="777" width="11.42578125" customWidth="1"/>
    <col min="778" max="778" width="23.42578125" customWidth="1"/>
    <col min="779" max="779" width="1" customWidth="1"/>
    <col min="780" max="780" width="5.140625" customWidth="1"/>
    <col min="781" max="1023" width="11.42578125" customWidth="1"/>
    <col min="1025" max="1025" width="1.7109375" customWidth="1"/>
    <col min="1026" max="1026" width="27" customWidth="1"/>
    <col min="1027" max="1027" width="17.28515625" customWidth="1"/>
    <col min="1028" max="1028" width="10.7109375" customWidth="1"/>
    <col min="1029" max="1029" width="10.28515625" customWidth="1"/>
    <col min="1030" max="1030" width="3.140625" customWidth="1"/>
    <col min="1031" max="1031" width="12.42578125" customWidth="1"/>
    <col min="1032" max="1033" width="11.42578125" customWidth="1"/>
    <col min="1034" max="1034" width="23.42578125" customWidth="1"/>
    <col min="1035" max="1035" width="1" customWidth="1"/>
    <col min="1036" max="1036" width="5.140625" customWidth="1"/>
    <col min="1037" max="1279" width="11.42578125" customWidth="1"/>
    <col min="1281" max="1281" width="1.7109375" customWidth="1"/>
    <col min="1282" max="1282" width="27" customWidth="1"/>
    <col min="1283" max="1283" width="17.28515625" customWidth="1"/>
    <col min="1284" max="1284" width="10.7109375" customWidth="1"/>
    <col min="1285" max="1285" width="10.28515625" customWidth="1"/>
    <col min="1286" max="1286" width="3.140625" customWidth="1"/>
    <col min="1287" max="1287" width="12.42578125" customWidth="1"/>
    <col min="1288" max="1289" width="11.42578125" customWidth="1"/>
    <col min="1290" max="1290" width="23.42578125" customWidth="1"/>
    <col min="1291" max="1291" width="1" customWidth="1"/>
    <col min="1292" max="1292" width="5.140625" customWidth="1"/>
    <col min="1293" max="1535" width="11.42578125" customWidth="1"/>
    <col min="1537" max="1537" width="1.7109375" customWidth="1"/>
    <col min="1538" max="1538" width="27" customWidth="1"/>
    <col min="1539" max="1539" width="17.28515625" customWidth="1"/>
    <col min="1540" max="1540" width="10.7109375" customWidth="1"/>
    <col min="1541" max="1541" width="10.28515625" customWidth="1"/>
    <col min="1542" max="1542" width="3.140625" customWidth="1"/>
    <col min="1543" max="1543" width="12.42578125" customWidth="1"/>
    <col min="1544" max="1545" width="11.42578125" customWidth="1"/>
    <col min="1546" max="1546" width="23.42578125" customWidth="1"/>
    <col min="1547" max="1547" width="1" customWidth="1"/>
    <col min="1548" max="1548" width="5.140625" customWidth="1"/>
    <col min="1549" max="1791" width="11.42578125" customWidth="1"/>
    <col min="1793" max="1793" width="1.7109375" customWidth="1"/>
    <col min="1794" max="1794" width="27" customWidth="1"/>
    <col min="1795" max="1795" width="17.28515625" customWidth="1"/>
    <col min="1796" max="1796" width="10.7109375" customWidth="1"/>
    <col min="1797" max="1797" width="10.28515625" customWidth="1"/>
    <col min="1798" max="1798" width="3.140625" customWidth="1"/>
    <col min="1799" max="1799" width="12.42578125" customWidth="1"/>
    <col min="1800" max="1801" width="11.42578125" customWidth="1"/>
    <col min="1802" max="1802" width="23.42578125" customWidth="1"/>
    <col min="1803" max="1803" width="1" customWidth="1"/>
    <col min="1804" max="1804" width="5.140625" customWidth="1"/>
    <col min="1805" max="2047" width="11.42578125" customWidth="1"/>
    <col min="2049" max="2049" width="1.7109375" customWidth="1"/>
    <col min="2050" max="2050" width="27" customWidth="1"/>
    <col min="2051" max="2051" width="17.28515625" customWidth="1"/>
    <col min="2052" max="2052" width="10.7109375" customWidth="1"/>
    <col min="2053" max="2053" width="10.28515625" customWidth="1"/>
    <col min="2054" max="2054" width="3.140625" customWidth="1"/>
    <col min="2055" max="2055" width="12.42578125" customWidth="1"/>
    <col min="2056" max="2057" width="11.42578125" customWidth="1"/>
    <col min="2058" max="2058" width="23.42578125" customWidth="1"/>
    <col min="2059" max="2059" width="1" customWidth="1"/>
    <col min="2060" max="2060" width="5.140625" customWidth="1"/>
    <col min="2061" max="2303" width="11.42578125" customWidth="1"/>
    <col min="2305" max="2305" width="1.7109375" customWidth="1"/>
    <col min="2306" max="2306" width="27" customWidth="1"/>
    <col min="2307" max="2307" width="17.28515625" customWidth="1"/>
    <col min="2308" max="2308" width="10.7109375" customWidth="1"/>
    <col min="2309" max="2309" width="10.28515625" customWidth="1"/>
    <col min="2310" max="2310" width="3.140625" customWidth="1"/>
    <col min="2311" max="2311" width="12.42578125" customWidth="1"/>
    <col min="2312" max="2313" width="11.42578125" customWidth="1"/>
    <col min="2314" max="2314" width="23.42578125" customWidth="1"/>
    <col min="2315" max="2315" width="1" customWidth="1"/>
    <col min="2316" max="2316" width="5.140625" customWidth="1"/>
    <col min="2317" max="2559" width="11.42578125" customWidth="1"/>
    <col min="2561" max="2561" width="1.7109375" customWidth="1"/>
    <col min="2562" max="2562" width="27" customWidth="1"/>
    <col min="2563" max="2563" width="17.28515625" customWidth="1"/>
    <col min="2564" max="2564" width="10.7109375" customWidth="1"/>
    <col min="2565" max="2565" width="10.28515625" customWidth="1"/>
    <col min="2566" max="2566" width="3.140625" customWidth="1"/>
    <col min="2567" max="2567" width="12.42578125" customWidth="1"/>
    <col min="2568" max="2569" width="11.42578125" customWidth="1"/>
    <col min="2570" max="2570" width="23.42578125" customWidth="1"/>
    <col min="2571" max="2571" width="1" customWidth="1"/>
    <col min="2572" max="2572" width="5.140625" customWidth="1"/>
    <col min="2573" max="2815" width="11.42578125" customWidth="1"/>
    <col min="2817" max="2817" width="1.7109375" customWidth="1"/>
    <col min="2818" max="2818" width="27" customWidth="1"/>
    <col min="2819" max="2819" width="17.28515625" customWidth="1"/>
    <col min="2820" max="2820" width="10.7109375" customWidth="1"/>
    <col min="2821" max="2821" width="10.28515625" customWidth="1"/>
    <col min="2822" max="2822" width="3.140625" customWidth="1"/>
    <col min="2823" max="2823" width="12.42578125" customWidth="1"/>
    <col min="2824" max="2825" width="11.42578125" customWidth="1"/>
    <col min="2826" max="2826" width="23.42578125" customWidth="1"/>
    <col min="2827" max="2827" width="1" customWidth="1"/>
    <col min="2828" max="2828" width="5.140625" customWidth="1"/>
    <col min="2829" max="3071" width="11.42578125" customWidth="1"/>
    <col min="3073" max="3073" width="1.7109375" customWidth="1"/>
    <col min="3074" max="3074" width="27" customWidth="1"/>
    <col min="3075" max="3075" width="17.28515625" customWidth="1"/>
    <col min="3076" max="3076" width="10.7109375" customWidth="1"/>
    <col min="3077" max="3077" width="10.28515625" customWidth="1"/>
    <col min="3078" max="3078" width="3.140625" customWidth="1"/>
    <col min="3079" max="3079" width="12.42578125" customWidth="1"/>
    <col min="3080" max="3081" width="11.42578125" customWidth="1"/>
    <col min="3082" max="3082" width="23.42578125" customWidth="1"/>
    <col min="3083" max="3083" width="1" customWidth="1"/>
    <col min="3084" max="3084" width="5.140625" customWidth="1"/>
    <col min="3085" max="3327" width="11.42578125" customWidth="1"/>
    <col min="3329" max="3329" width="1.7109375" customWidth="1"/>
    <col min="3330" max="3330" width="27" customWidth="1"/>
    <col min="3331" max="3331" width="17.28515625" customWidth="1"/>
    <col min="3332" max="3332" width="10.7109375" customWidth="1"/>
    <col min="3333" max="3333" width="10.28515625" customWidth="1"/>
    <col min="3334" max="3334" width="3.140625" customWidth="1"/>
    <col min="3335" max="3335" width="12.42578125" customWidth="1"/>
    <col min="3336" max="3337" width="11.42578125" customWidth="1"/>
    <col min="3338" max="3338" width="23.42578125" customWidth="1"/>
    <col min="3339" max="3339" width="1" customWidth="1"/>
    <col min="3340" max="3340" width="5.140625" customWidth="1"/>
    <col min="3341" max="3583" width="11.42578125" customWidth="1"/>
    <col min="3585" max="3585" width="1.7109375" customWidth="1"/>
    <col min="3586" max="3586" width="27" customWidth="1"/>
    <col min="3587" max="3587" width="17.28515625" customWidth="1"/>
    <col min="3588" max="3588" width="10.7109375" customWidth="1"/>
    <col min="3589" max="3589" width="10.28515625" customWidth="1"/>
    <col min="3590" max="3590" width="3.140625" customWidth="1"/>
    <col min="3591" max="3591" width="12.42578125" customWidth="1"/>
    <col min="3592" max="3593" width="11.42578125" customWidth="1"/>
    <col min="3594" max="3594" width="23.42578125" customWidth="1"/>
    <col min="3595" max="3595" width="1" customWidth="1"/>
    <col min="3596" max="3596" width="5.140625" customWidth="1"/>
    <col min="3597" max="3839" width="11.42578125" customWidth="1"/>
    <col min="3841" max="3841" width="1.7109375" customWidth="1"/>
    <col min="3842" max="3842" width="27" customWidth="1"/>
    <col min="3843" max="3843" width="17.28515625" customWidth="1"/>
    <col min="3844" max="3844" width="10.7109375" customWidth="1"/>
    <col min="3845" max="3845" width="10.28515625" customWidth="1"/>
    <col min="3846" max="3846" width="3.140625" customWidth="1"/>
    <col min="3847" max="3847" width="12.42578125" customWidth="1"/>
    <col min="3848" max="3849" width="11.42578125" customWidth="1"/>
    <col min="3850" max="3850" width="23.42578125" customWidth="1"/>
    <col min="3851" max="3851" width="1" customWidth="1"/>
    <col min="3852" max="3852" width="5.140625" customWidth="1"/>
    <col min="3853" max="4095" width="11.42578125" customWidth="1"/>
    <col min="4097" max="4097" width="1.7109375" customWidth="1"/>
    <col min="4098" max="4098" width="27" customWidth="1"/>
    <col min="4099" max="4099" width="17.28515625" customWidth="1"/>
    <col min="4100" max="4100" width="10.7109375" customWidth="1"/>
    <col min="4101" max="4101" width="10.28515625" customWidth="1"/>
    <col min="4102" max="4102" width="3.140625" customWidth="1"/>
    <col min="4103" max="4103" width="12.42578125" customWidth="1"/>
    <col min="4104" max="4105" width="11.42578125" customWidth="1"/>
    <col min="4106" max="4106" width="23.42578125" customWidth="1"/>
    <col min="4107" max="4107" width="1" customWidth="1"/>
    <col min="4108" max="4108" width="5.140625" customWidth="1"/>
    <col min="4109" max="4351" width="11.42578125" customWidth="1"/>
    <col min="4353" max="4353" width="1.7109375" customWidth="1"/>
    <col min="4354" max="4354" width="27" customWidth="1"/>
    <col min="4355" max="4355" width="17.28515625" customWidth="1"/>
    <col min="4356" max="4356" width="10.7109375" customWidth="1"/>
    <col min="4357" max="4357" width="10.28515625" customWidth="1"/>
    <col min="4358" max="4358" width="3.140625" customWidth="1"/>
    <col min="4359" max="4359" width="12.42578125" customWidth="1"/>
    <col min="4360" max="4361" width="11.42578125" customWidth="1"/>
    <col min="4362" max="4362" width="23.42578125" customWidth="1"/>
    <col min="4363" max="4363" width="1" customWidth="1"/>
    <col min="4364" max="4364" width="5.140625" customWidth="1"/>
    <col min="4365" max="4607" width="11.42578125" customWidth="1"/>
    <col min="4609" max="4609" width="1.7109375" customWidth="1"/>
    <col min="4610" max="4610" width="27" customWidth="1"/>
    <col min="4611" max="4611" width="17.28515625" customWidth="1"/>
    <col min="4612" max="4612" width="10.7109375" customWidth="1"/>
    <col min="4613" max="4613" width="10.28515625" customWidth="1"/>
    <col min="4614" max="4614" width="3.140625" customWidth="1"/>
    <col min="4615" max="4615" width="12.42578125" customWidth="1"/>
    <col min="4616" max="4617" width="11.42578125" customWidth="1"/>
    <col min="4618" max="4618" width="23.42578125" customWidth="1"/>
    <col min="4619" max="4619" width="1" customWidth="1"/>
    <col min="4620" max="4620" width="5.140625" customWidth="1"/>
    <col min="4621" max="4863" width="11.42578125" customWidth="1"/>
    <col min="4865" max="4865" width="1.7109375" customWidth="1"/>
    <col min="4866" max="4866" width="27" customWidth="1"/>
    <col min="4867" max="4867" width="17.28515625" customWidth="1"/>
    <col min="4868" max="4868" width="10.7109375" customWidth="1"/>
    <col min="4869" max="4869" width="10.28515625" customWidth="1"/>
    <col min="4870" max="4870" width="3.140625" customWidth="1"/>
    <col min="4871" max="4871" width="12.42578125" customWidth="1"/>
    <col min="4872" max="4873" width="11.42578125" customWidth="1"/>
    <col min="4874" max="4874" width="23.42578125" customWidth="1"/>
    <col min="4875" max="4875" width="1" customWidth="1"/>
    <col min="4876" max="4876" width="5.140625" customWidth="1"/>
    <col min="4877" max="5119" width="11.42578125" customWidth="1"/>
    <col min="5121" max="5121" width="1.7109375" customWidth="1"/>
    <col min="5122" max="5122" width="27" customWidth="1"/>
    <col min="5123" max="5123" width="17.28515625" customWidth="1"/>
    <col min="5124" max="5124" width="10.7109375" customWidth="1"/>
    <col min="5125" max="5125" width="10.28515625" customWidth="1"/>
    <col min="5126" max="5126" width="3.140625" customWidth="1"/>
    <col min="5127" max="5127" width="12.42578125" customWidth="1"/>
    <col min="5128" max="5129" width="11.42578125" customWidth="1"/>
    <col min="5130" max="5130" width="23.42578125" customWidth="1"/>
    <col min="5131" max="5131" width="1" customWidth="1"/>
    <col min="5132" max="5132" width="5.140625" customWidth="1"/>
    <col min="5133" max="5375" width="11.42578125" customWidth="1"/>
    <col min="5377" max="5377" width="1.7109375" customWidth="1"/>
    <col min="5378" max="5378" width="27" customWidth="1"/>
    <col min="5379" max="5379" width="17.28515625" customWidth="1"/>
    <col min="5380" max="5380" width="10.7109375" customWidth="1"/>
    <col min="5381" max="5381" width="10.28515625" customWidth="1"/>
    <col min="5382" max="5382" width="3.140625" customWidth="1"/>
    <col min="5383" max="5383" width="12.42578125" customWidth="1"/>
    <col min="5384" max="5385" width="11.42578125" customWidth="1"/>
    <col min="5386" max="5386" width="23.42578125" customWidth="1"/>
    <col min="5387" max="5387" width="1" customWidth="1"/>
    <col min="5388" max="5388" width="5.140625" customWidth="1"/>
    <col min="5389" max="5631" width="11.42578125" customWidth="1"/>
    <col min="5633" max="5633" width="1.7109375" customWidth="1"/>
    <col min="5634" max="5634" width="27" customWidth="1"/>
    <col min="5635" max="5635" width="17.28515625" customWidth="1"/>
    <col min="5636" max="5636" width="10.7109375" customWidth="1"/>
    <col min="5637" max="5637" width="10.28515625" customWidth="1"/>
    <col min="5638" max="5638" width="3.140625" customWidth="1"/>
    <col min="5639" max="5639" width="12.42578125" customWidth="1"/>
    <col min="5640" max="5641" width="11.42578125" customWidth="1"/>
    <col min="5642" max="5642" width="23.42578125" customWidth="1"/>
    <col min="5643" max="5643" width="1" customWidth="1"/>
    <col min="5644" max="5644" width="5.140625" customWidth="1"/>
    <col min="5645" max="5887" width="11.42578125" customWidth="1"/>
    <col min="5889" max="5889" width="1.7109375" customWidth="1"/>
    <col min="5890" max="5890" width="27" customWidth="1"/>
    <col min="5891" max="5891" width="17.28515625" customWidth="1"/>
    <col min="5892" max="5892" width="10.7109375" customWidth="1"/>
    <col min="5893" max="5893" width="10.28515625" customWidth="1"/>
    <col min="5894" max="5894" width="3.140625" customWidth="1"/>
    <col min="5895" max="5895" width="12.42578125" customWidth="1"/>
    <col min="5896" max="5897" width="11.42578125" customWidth="1"/>
    <col min="5898" max="5898" width="23.42578125" customWidth="1"/>
    <col min="5899" max="5899" width="1" customWidth="1"/>
    <col min="5900" max="5900" width="5.140625" customWidth="1"/>
    <col min="5901" max="6143" width="11.42578125" customWidth="1"/>
    <col min="6145" max="6145" width="1.7109375" customWidth="1"/>
    <col min="6146" max="6146" width="27" customWidth="1"/>
    <col min="6147" max="6147" width="17.28515625" customWidth="1"/>
    <col min="6148" max="6148" width="10.7109375" customWidth="1"/>
    <col min="6149" max="6149" width="10.28515625" customWidth="1"/>
    <col min="6150" max="6150" width="3.140625" customWidth="1"/>
    <col min="6151" max="6151" width="12.42578125" customWidth="1"/>
    <col min="6152" max="6153" width="11.42578125" customWidth="1"/>
    <col min="6154" max="6154" width="23.42578125" customWidth="1"/>
    <col min="6155" max="6155" width="1" customWidth="1"/>
    <col min="6156" max="6156" width="5.140625" customWidth="1"/>
    <col min="6157" max="6399" width="11.42578125" customWidth="1"/>
    <col min="6401" max="6401" width="1.7109375" customWidth="1"/>
    <col min="6402" max="6402" width="27" customWidth="1"/>
    <col min="6403" max="6403" width="17.28515625" customWidth="1"/>
    <col min="6404" max="6404" width="10.7109375" customWidth="1"/>
    <col min="6405" max="6405" width="10.28515625" customWidth="1"/>
    <col min="6406" max="6406" width="3.140625" customWidth="1"/>
    <col min="6407" max="6407" width="12.42578125" customWidth="1"/>
    <col min="6408" max="6409" width="11.42578125" customWidth="1"/>
    <col min="6410" max="6410" width="23.42578125" customWidth="1"/>
    <col min="6411" max="6411" width="1" customWidth="1"/>
    <col min="6412" max="6412" width="5.140625" customWidth="1"/>
    <col min="6413" max="6655" width="11.42578125" customWidth="1"/>
    <col min="6657" max="6657" width="1.7109375" customWidth="1"/>
    <col min="6658" max="6658" width="27" customWidth="1"/>
    <col min="6659" max="6659" width="17.28515625" customWidth="1"/>
    <col min="6660" max="6660" width="10.7109375" customWidth="1"/>
    <col min="6661" max="6661" width="10.28515625" customWidth="1"/>
    <col min="6662" max="6662" width="3.140625" customWidth="1"/>
    <col min="6663" max="6663" width="12.42578125" customWidth="1"/>
    <col min="6664" max="6665" width="11.42578125" customWidth="1"/>
    <col min="6666" max="6666" width="23.42578125" customWidth="1"/>
    <col min="6667" max="6667" width="1" customWidth="1"/>
    <col min="6668" max="6668" width="5.140625" customWidth="1"/>
    <col min="6669" max="6911" width="11.42578125" customWidth="1"/>
    <col min="6913" max="6913" width="1.7109375" customWidth="1"/>
    <col min="6914" max="6914" width="27" customWidth="1"/>
    <col min="6915" max="6915" width="17.28515625" customWidth="1"/>
    <col min="6916" max="6916" width="10.7109375" customWidth="1"/>
    <col min="6917" max="6917" width="10.28515625" customWidth="1"/>
    <col min="6918" max="6918" width="3.140625" customWidth="1"/>
    <col min="6919" max="6919" width="12.42578125" customWidth="1"/>
    <col min="6920" max="6921" width="11.42578125" customWidth="1"/>
    <col min="6922" max="6922" width="23.42578125" customWidth="1"/>
    <col min="6923" max="6923" width="1" customWidth="1"/>
    <col min="6924" max="6924" width="5.140625" customWidth="1"/>
    <col min="6925" max="7167" width="11.42578125" customWidth="1"/>
    <col min="7169" max="7169" width="1.7109375" customWidth="1"/>
    <col min="7170" max="7170" width="27" customWidth="1"/>
    <col min="7171" max="7171" width="17.28515625" customWidth="1"/>
    <col min="7172" max="7172" width="10.7109375" customWidth="1"/>
    <col min="7173" max="7173" width="10.28515625" customWidth="1"/>
    <col min="7174" max="7174" width="3.140625" customWidth="1"/>
    <col min="7175" max="7175" width="12.42578125" customWidth="1"/>
    <col min="7176" max="7177" width="11.42578125" customWidth="1"/>
    <col min="7178" max="7178" width="23.42578125" customWidth="1"/>
    <col min="7179" max="7179" width="1" customWidth="1"/>
    <col min="7180" max="7180" width="5.140625" customWidth="1"/>
    <col min="7181" max="7423" width="11.42578125" customWidth="1"/>
    <col min="7425" max="7425" width="1.7109375" customWidth="1"/>
    <col min="7426" max="7426" width="27" customWidth="1"/>
    <col min="7427" max="7427" width="17.28515625" customWidth="1"/>
    <col min="7428" max="7428" width="10.7109375" customWidth="1"/>
    <col min="7429" max="7429" width="10.28515625" customWidth="1"/>
    <col min="7430" max="7430" width="3.140625" customWidth="1"/>
    <col min="7431" max="7431" width="12.42578125" customWidth="1"/>
    <col min="7432" max="7433" width="11.42578125" customWidth="1"/>
    <col min="7434" max="7434" width="23.42578125" customWidth="1"/>
    <col min="7435" max="7435" width="1" customWidth="1"/>
    <col min="7436" max="7436" width="5.140625" customWidth="1"/>
    <col min="7437" max="7679" width="11.42578125" customWidth="1"/>
    <col min="7681" max="7681" width="1.7109375" customWidth="1"/>
    <col min="7682" max="7682" width="27" customWidth="1"/>
    <col min="7683" max="7683" width="17.28515625" customWidth="1"/>
    <col min="7684" max="7684" width="10.7109375" customWidth="1"/>
    <col min="7685" max="7685" width="10.28515625" customWidth="1"/>
    <col min="7686" max="7686" width="3.140625" customWidth="1"/>
    <col min="7687" max="7687" width="12.42578125" customWidth="1"/>
    <col min="7688" max="7689" width="11.42578125" customWidth="1"/>
    <col min="7690" max="7690" width="23.42578125" customWidth="1"/>
    <col min="7691" max="7691" width="1" customWidth="1"/>
    <col min="7692" max="7692" width="5.140625" customWidth="1"/>
    <col min="7693" max="7935" width="11.42578125" customWidth="1"/>
    <col min="7937" max="7937" width="1.7109375" customWidth="1"/>
    <col min="7938" max="7938" width="27" customWidth="1"/>
    <col min="7939" max="7939" width="17.28515625" customWidth="1"/>
    <col min="7940" max="7940" width="10.7109375" customWidth="1"/>
    <col min="7941" max="7941" width="10.28515625" customWidth="1"/>
    <col min="7942" max="7942" width="3.140625" customWidth="1"/>
    <col min="7943" max="7943" width="12.42578125" customWidth="1"/>
    <col min="7944" max="7945" width="11.42578125" customWidth="1"/>
    <col min="7946" max="7946" width="23.42578125" customWidth="1"/>
    <col min="7947" max="7947" width="1" customWidth="1"/>
    <col min="7948" max="7948" width="5.140625" customWidth="1"/>
    <col min="7949" max="8191" width="11.42578125" customWidth="1"/>
    <col min="8193" max="8193" width="1.7109375" customWidth="1"/>
    <col min="8194" max="8194" width="27" customWidth="1"/>
    <col min="8195" max="8195" width="17.28515625" customWidth="1"/>
    <col min="8196" max="8196" width="10.7109375" customWidth="1"/>
    <col min="8197" max="8197" width="10.28515625" customWidth="1"/>
    <col min="8198" max="8198" width="3.140625" customWidth="1"/>
    <col min="8199" max="8199" width="12.42578125" customWidth="1"/>
    <col min="8200" max="8201" width="11.42578125" customWidth="1"/>
    <col min="8202" max="8202" width="23.42578125" customWidth="1"/>
    <col min="8203" max="8203" width="1" customWidth="1"/>
    <col min="8204" max="8204" width="5.140625" customWidth="1"/>
    <col min="8205" max="8447" width="11.42578125" customWidth="1"/>
    <col min="8449" max="8449" width="1.7109375" customWidth="1"/>
    <col min="8450" max="8450" width="27" customWidth="1"/>
    <col min="8451" max="8451" width="17.28515625" customWidth="1"/>
    <col min="8452" max="8452" width="10.7109375" customWidth="1"/>
    <col min="8453" max="8453" width="10.28515625" customWidth="1"/>
    <col min="8454" max="8454" width="3.140625" customWidth="1"/>
    <col min="8455" max="8455" width="12.42578125" customWidth="1"/>
    <col min="8456" max="8457" width="11.42578125" customWidth="1"/>
    <col min="8458" max="8458" width="23.42578125" customWidth="1"/>
    <col min="8459" max="8459" width="1" customWidth="1"/>
    <col min="8460" max="8460" width="5.140625" customWidth="1"/>
    <col min="8461" max="8703" width="11.42578125" customWidth="1"/>
    <col min="8705" max="8705" width="1.7109375" customWidth="1"/>
    <col min="8706" max="8706" width="27" customWidth="1"/>
    <col min="8707" max="8707" width="17.28515625" customWidth="1"/>
    <col min="8708" max="8708" width="10.7109375" customWidth="1"/>
    <col min="8709" max="8709" width="10.28515625" customWidth="1"/>
    <col min="8710" max="8710" width="3.140625" customWidth="1"/>
    <col min="8711" max="8711" width="12.42578125" customWidth="1"/>
    <col min="8712" max="8713" width="11.42578125" customWidth="1"/>
    <col min="8714" max="8714" width="23.42578125" customWidth="1"/>
    <col min="8715" max="8715" width="1" customWidth="1"/>
    <col min="8716" max="8716" width="5.140625" customWidth="1"/>
    <col min="8717" max="8959" width="11.42578125" customWidth="1"/>
    <col min="8961" max="8961" width="1.7109375" customWidth="1"/>
    <col min="8962" max="8962" width="27" customWidth="1"/>
    <col min="8963" max="8963" width="17.28515625" customWidth="1"/>
    <col min="8964" max="8964" width="10.7109375" customWidth="1"/>
    <col min="8965" max="8965" width="10.28515625" customWidth="1"/>
    <col min="8966" max="8966" width="3.140625" customWidth="1"/>
    <col min="8967" max="8967" width="12.42578125" customWidth="1"/>
    <col min="8968" max="8969" width="11.42578125" customWidth="1"/>
    <col min="8970" max="8970" width="23.42578125" customWidth="1"/>
    <col min="8971" max="8971" width="1" customWidth="1"/>
    <col min="8972" max="8972" width="5.140625" customWidth="1"/>
    <col min="8973" max="9215" width="11.42578125" customWidth="1"/>
    <col min="9217" max="9217" width="1.7109375" customWidth="1"/>
    <col min="9218" max="9218" width="27" customWidth="1"/>
    <col min="9219" max="9219" width="17.28515625" customWidth="1"/>
    <col min="9220" max="9220" width="10.7109375" customWidth="1"/>
    <col min="9221" max="9221" width="10.28515625" customWidth="1"/>
    <col min="9222" max="9222" width="3.140625" customWidth="1"/>
    <col min="9223" max="9223" width="12.42578125" customWidth="1"/>
    <col min="9224" max="9225" width="11.42578125" customWidth="1"/>
    <col min="9226" max="9226" width="23.42578125" customWidth="1"/>
    <col min="9227" max="9227" width="1" customWidth="1"/>
    <col min="9228" max="9228" width="5.140625" customWidth="1"/>
    <col min="9229" max="9471" width="11.42578125" customWidth="1"/>
    <col min="9473" max="9473" width="1.7109375" customWidth="1"/>
    <col min="9474" max="9474" width="27" customWidth="1"/>
    <col min="9475" max="9475" width="17.28515625" customWidth="1"/>
    <col min="9476" max="9476" width="10.7109375" customWidth="1"/>
    <col min="9477" max="9477" width="10.28515625" customWidth="1"/>
    <col min="9478" max="9478" width="3.140625" customWidth="1"/>
    <col min="9479" max="9479" width="12.42578125" customWidth="1"/>
    <col min="9480" max="9481" width="11.42578125" customWidth="1"/>
    <col min="9482" max="9482" width="23.42578125" customWidth="1"/>
    <col min="9483" max="9483" width="1" customWidth="1"/>
    <col min="9484" max="9484" width="5.140625" customWidth="1"/>
    <col min="9485" max="9727" width="11.42578125" customWidth="1"/>
    <col min="9729" max="9729" width="1.7109375" customWidth="1"/>
    <col min="9730" max="9730" width="27" customWidth="1"/>
    <col min="9731" max="9731" width="17.28515625" customWidth="1"/>
    <col min="9732" max="9732" width="10.7109375" customWidth="1"/>
    <col min="9733" max="9733" width="10.28515625" customWidth="1"/>
    <col min="9734" max="9734" width="3.140625" customWidth="1"/>
    <col min="9735" max="9735" width="12.42578125" customWidth="1"/>
    <col min="9736" max="9737" width="11.42578125" customWidth="1"/>
    <col min="9738" max="9738" width="23.42578125" customWidth="1"/>
    <col min="9739" max="9739" width="1" customWidth="1"/>
    <col min="9740" max="9740" width="5.140625" customWidth="1"/>
    <col min="9741" max="9983" width="11.42578125" customWidth="1"/>
    <col min="9985" max="9985" width="1.7109375" customWidth="1"/>
    <col min="9986" max="9986" width="27" customWidth="1"/>
    <col min="9987" max="9987" width="17.28515625" customWidth="1"/>
    <col min="9988" max="9988" width="10.7109375" customWidth="1"/>
    <col min="9989" max="9989" width="10.28515625" customWidth="1"/>
    <col min="9990" max="9990" width="3.140625" customWidth="1"/>
    <col min="9991" max="9991" width="12.42578125" customWidth="1"/>
    <col min="9992" max="9993" width="11.42578125" customWidth="1"/>
    <col min="9994" max="9994" width="23.42578125" customWidth="1"/>
    <col min="9995" max="9995" width="1" customWidth="1"/>
    <col min="9996" max="9996" width="5.140625" customWidth="1"/>
    <col min="9997" max="10239" width="11.42578125" customWidth="1"/>
    <col min="10241" max="10241" width="1.7109375" customWidth="1"/>
    <col min="10242" max="10242" width="27" customWidth="1"/>
    <col min="10243" max="10243" width="17.28515625" customWidth="1"/>
    <col min="10244" max="10244" width="10.7109375" customWidth="1"/>
    <col min="10245" max="10245" width="10.28515625" customWidth="1"/>
    <col min="10246" max="10246" width="3.140625" customWidth="1"/>
    <col min="10247" max="10247" width="12.42578125" customWidth="1"/>
    <col min="10248" max="10249" width="11.42578125" customWidth="1"/>
    <col min="10250" max="10250" width="23.42578125" customWidth="1"/>
    <col min="10251" max="10251" width="1" customWidth="1"/>
    <col min="10252" max="10252" width="5.140625" customWidth="1"/>
    <col min="10253" max="10495" width="11.42578125" customWidth="1"/>
    <col min="10497" max="10497" width="1.7109375" customWidth="1"/>
    <col min="10498" max="10498" width="27" customWidth="1"/>
    <col min="10499" max="10499" width="17.28515625" customWidth="1"/>
    <col min="10500" max="10500" width="10.7109375" customWidth="1"/>
    <col min="10501" max="10501" width="10.28515625" customWidth="1"/>
    <col min="10502" max="10502" width="3.140625" customWidth="1"/>
    <col min="10503" max="10503" width="12.42578125" customWidth="1"/>
    <col min="10504" max="10505" width="11.42578125" customWidth="1"/>
    <col min="10506" max="10506" width="23.42578125" customWidth="1"/>
    <col min="10507" max="10507" width="1" customWidth="1"/>
    <col min="10508" max="10508" width="5.140625" customWidth="1"/>
    <col min="10509" max="10751" width="11.42578125" customWidth="1"/>
    <col min="10753" max="10753" width="1.7109375" customWidth="1"/>
    <col min="10754" max="10754" width="27" customWidth="1"/>
    <col min="10755" max="10755" width="17.28515625" customWidth="1"/>
    <col min="10756" max="10756" width="10.7109375" customWidth="1"/>
    <col min="10757" max="10757" width="10.28515625" customWidth="1"/>
    <col min="10758" max="10758" width="3.140625" customWidth="1"/>
    <col min="10759" max="10759" width="12.42578125" customWidth="1"/>
    <col min="10760" max="10761" width="11.42578125" customWidth="1"/>
    <col min="10762" max="10762" width="23.42578125" customWidth="1"/>
    <col min="10763" max="10763" width="1" customWidth="1"/>
    <col min="10764" max="10764" width="5.140625" customWidth="1"/>
    <col min="10765" max="11007" width="11.42578125" customWidth="1"/>
    <col min="11009" max="11009" width="1.7109375" customWidth="1"/>
    <col min="11010" max="11010" width="27" customWidth="1"/>
    <col min="11011" max="11011" width="17.28515625" customWidth="1"/>
    <col min="11012" max="11012" width="10.7109375" customWidth="1"/>
    <col min="11013" max="11013" width="10.28515625" customWidth="1"/>
    <col min="11014" max="11014" width="3.140625" customWidth="1"/>
    <col min="11015" max="11015" width="12.42578125" customWidth="1"/>
    <col min="11016" max="11017" width="11.42578125" customWidth="1"/>
    <col min="11018" max="11018" width="23.42578125" customWidth="1"/>
    <col min="11019" max="11019" width="1" customWidth="1"/>
    <col min="11020" max="11020" width="5.140625" customWidth="1"/>
    <col min="11021" max="11263" width="11.42578125" customWidth="1"/>
    <col min="11265" max="11265" width="1.7109375" customWidth="1"/>
    <col min="11266" max="11266" width="27" customWidth="1"/>
    <col min="11267" max="11267" width="17.28515625" customWidth="1"/>
    <col min="11268" max="11268" width="10.7109375" customWidth="1"/>
    <col min="11269" max="11269" width="10.28515625" customWidth="1"/>
    <col min="11270" max="11270" width="3.140625" customWidth="1"/>
    <col min="11271" max="11271" width="12.42578125" customWidth="1"/>
    <col min="11272" max="11273" width="11.42578125" customWidth="1"/>
    <col min="11274" max="11274" width="23.42578125" customWidth="1"/>
    <col min="11275" max="11275" width="1" customWidth="1"/>
    <col min="11276" max="11276" width="5.140625" customWidth="1"/>
    <col min="11277" max="11519" width="11.42578125" customWidth="1"/>
    <col min="11521" max="11521" width="1.7109375" customWidth="1"/>
    <col min="11522" max="11522" width="27" customWidth="1"/>
    <col min="11523" max="11523" width="17.28515625" customWidth="1"/>
    <col min="11524" max="11524" width="10.7109375" customWidth="1"/>
    <col min="11525" max="11525" width="10.28515625" customWidth="1"/>
    <col min="11526" max="11526" width="3.140625" customWidth="1"/>
    <col min="11527" max="11527" width="12.42578125" customWidth="1"/>
    <col min="11528" max="11529" width="11.42578125" customWidth="1"/>
    <col min="11530" max="11530" width="23.42578125" customWidth="1"/>
    <col min="11531" max="11531" width="1" customWidth="1"/>
    <col min="11532" max="11532" width="5.140625" customWidth="1"/>
    <col min="11533" max="11775" width="11.42578125" customWidth="1"/>
    <col min="11777" max="11777" width="1.7109375" customWidth="1"/>
    <col min="11778" max="11778" width="27" customWidth="1"/>
    <col min="11779" max="11779" width="17.28515625" customWidth="1"/>
    <col min="11780" max="11780" width="10.7109375" customWidth="1"/>
    <col min="11781" max="11781" width="10.28515625" customWidth="1"/>
    <col min="11782" max="11782" width="3.140625" customWidth="1"/>
    <col min="11783" max="11783" width="12.42578125" customWidth="1"/>
    <col min="11784" max="11785" width="11.42578125" customWidth="1"/>
    <col min="11786" max="11786" width="23.42578125" customWidth="1"/>
    <col min="11787" max="11787" width="1" customWidth="1"/>
    <col min="11788" max="11788" width="5.140625" customWidth="1"/>
    <col min="11789" max="12031" width="11.42578125" customWidth="1"/>
    <col min="12033" max="12033" width="1.7109375" customWidth="1"/>
    <col min="12034" max="12034" width="27" customWidth="1"/>
    <col min="12035" max="12035" width="17.28515625" customWidth="1"/>
    <col min="12036" max="12036" width="10.7109375" customWidth="1"/>
    <col min="12037" max="12037" width="10.28515625" customWidth="1"/>
    <col min="12038" max="12038" width="3.140625" customWidth="1"/>
    <col min="12039" max="12039" width="12.42578125" customWidth="1"/>
    <col min="12040" max="12041" width="11.42578125" customWidth="1"/>
    <col min="12042" max="12042" width="23.42578125" customWidth="1"/>
    <col min="12043" max="12043" width="1" customWidth="1"/>
    <col min="12044" max="12044" width="5.140625" customWidth="1"/>
    <col min="12045" max="12287" width="11.42578125" customWidth="1"/>
    <col min="12289" max="12289" width="1.7109375" customWidth="1"/>
    <col min="12290" max="12290" width="27" customWidth="1"/>
    <col min="12291" max="12291" width="17.28515625" customWidth="1"/>
    <col min="12292" max="12292" width="10.7109375" customWidth="1"/>
    <col min="12293" max="12293" width="10.28515625" customWidth="1"/>
    <col min="12294" max="12294" width="3.140625" customWidth="1"/>
    <col min="12295" max="12295" width="12.42578125" customWidth="1"/>
    <col min="12296" max="12297" width="11.42578125" customWidth="1"/>
    <col min="12298" max="12298" width="23.42578125" customWidth="1"/>
    <col min="12299" max="12299" width="1" customWidth="1"/>
    <col min="12300" max="12300" width="5.140625" customWidth="1"/>
    <col min="12301" max="12543" width="11.42578125" customWidth="1"/>
    <col min="12545" max="12545" width="1.7109375" customWidth="1"/>
    <col min="12546" max="12546" width="27" customWidth="1"/>
    <col min="12547" max="12547" width="17.28515625" customWidth="1"/>
    <col min="12548" max="12548" width="10.7109375" customWidth="1"/>
    <col min="12549" max="12549" width="10.28515625" customWidth="1"/>
    <col min="12550" max="12550" width="3.140625" customWidth="1"/>
    <col min="12551" max="12551" width="12.42578125" customWidth="1"/>
    <col min="12552" max="12553" width="11.42578125" customWidth="1"/>
    <col min="12554" max="12554" width="23.42578125" customWidth="1"/>
    <col min="12555" max="12555" width="1" customWidth="1"/>
    <col min="12556" max="12556" width="5.140625" customWidth="1"/>
    <col min="12557" max="12799" width="11.42578125" customWidth="1"/>
    <col min="12801" max="12801" width="1.7109375" customWidth="1"/>
    <col min="12802" max="12802" width="27" customWidth="1"/>
    <col min="12803" max="12803" width="17.28515625" customWidth="1"/>
    <col min="12804" max="12804" width="10.7109375" customWidth="1"/>
    <col min="12805" max="12805" width="10.28515625" customWidth="1"/>
    <col min="12806" max="12806" width="3.140625" customWidth="1"/>
    <col min="12807" max="12807" width="12.42578125" customWidth="1"/>
    <col min="12808" max="12809" width="11.42578125" customWidth="1"/>
    <col min="12810" max="12810" width="23.42578125" customWidth="1"/>
    <col min="12811" max="12811" width="1" customWidth="1"/>
    <col min="12812" max="12812" width="5.140625" customWidth="1"/>
    <col min="12813" max="13055" width="11.42578125" customWidth="1"/>
    <col min="13057" max="13057" width="1.7109375" customWidth="1"/>
    <col min="13058" max="13058" width="27" customWidth="1"/>
    <col min="13059" max="13059" width="17.28515625" customWidth="1"/>
    <col min="13060" max="13060" width="10.7109375" customWidth="1"/>
    <col min="13061" max="13061" width="10.28515625" customWidth="1"/>
    <col min="13062" max="13062" width="3.140625" customWidth="1"/>
    <col min="13063" max="13063" width="12.42578125" customWidth="1"/>
    <col min="13064" max="13065" width="11.42578125" customWidth="1"/>
    <col min="13066" max="13066" width="23.42578125" customWidth="1"/>
    <col min="13067" max="13067" width="1" customWidth="1"/>
    <col min="13068" max="13068" width="5.140625" customWidth="1"/>
    <col min="13069" max="13311" width="11.42578125" customWidth="1"/>
    <col min="13313" max="13313" width="1.7109375" customWidth="1"/>
    <col min="13314" max="13314" width="27" customWidth="1"/>
    <col min="13315" max="13315" width="17.28515625" customWidth="1"/>
    <col min="13316" max="13316" width="10.7109375" customWidth="1"/>
    <col min="13317" max="13317" width="10.28515625" customWidth="1"/>
    <col min="13318" max="13318" width="3.140625" customWidth="1"/>
    <col min="13319" max="13319" width="12.42578125" customWidth="1"/>
    <col min="13320" max="13321" width="11.42578125" customWidth="1"/>
    <col min="13322" max="13322" width="23.42578125" customWidth="1"/>
    <col min="13323" max="13323" width="1" customWidth="1"/>
    <col min="13324" max="13324" width="5.140625" customWidth="1"/>
    <col min="13325" max="13567" width="11.42578125" customWidth="1"/>
    <col min="13569" max="13569" width="1.7109375" customWidth="1"/>
    <col min="13570" max="13570" width="27" customWidth="1"/>
    <col min="13571" max="13571" width="17.28515625" customWidth="1"/>
    <col min="13572" max="13572" width="10.7109375" customWidth="1"/>
    <col min="13573" max="13573" width="10.28515625" customWidth="1"/>
    <col min="13574" max="13574" width="3.140625" customWidth="1"/>
    <col min="13575" max="13575" width="12.42578125" customWidth="1"/>
    <col min="13576" max="13577" width="11.42578125" customWidth="1"/>
    <col min="13578" max="13578" width="23.42578125" customWidth="1"/>
    <col min="13579" max="13579" width="1" customWidth="1"/>
    <col min="13580" max="13580" width="5.140625" customWidth="1"/>
    <col min="13581" max="13823" width="11.42578125" customWidth="1"/>
    <col min="13825" max="13825" width="1.7109375" customWidth="1"/>
    <col min="13826" max="13826" width="27" customWidth="1"/>
    <col min="13827" max="13827" width="17.28515625" customWidth="1"/>
    <col min="13828" max="13828" width="10.7109375" customWidth="1"/>
    <col min="13829" max="13829" width="10.28515625" customWidth="1"/>
    <col min="13830" max="13830" width="3.140625" customWidth="1"/>
    <col min="13831" max="13831" width="12.42578125" customWidth="1"/>
    <col min="13832" max="13833" width="11.42578125" customWidth="1"/>
    <col min="13834" max="13834" width="23.42578125" customWidth="1"/>
    <col min="13835" max="13835" width="1" customWidth="1"/>
    <col min="13836" max="13836" width="5.140625" customWidth="1"/>
    <col min="13837" max="14079" width="11.42578125" customWidth="1"/>
    <col min="14081" max="14081" width="1.7109375" customWidth="1"/>
    <col min="14082" max="14082" width="27" customWidth="1"/>
    <col min="14083" max="14083" width="17.28515625" customWidth="1"/>
    <col min="14084" max="14084" width="10.7109375" customWidth="1"/>
    <col min="14085" max="14085" width="10.28515625" customWidth="1"/>
    <col min="14086" max="14086" width="3.140625" customWidth="1"/>
    <col min="14087" max="14087" width="12.42578125" customWidth="1"/>
    <col min="14088" max="14089" width="11.42578125" customWidth="1"/>
    <col min="14090" max="14090" width="23.42578125" customWidth="1"/>
    <col min="14091" max="14091" width="1" customWidth="1"/>
    <col min="14092" max="14092" width="5.140625" customWidth="1"/>
    <col min="14093" max="14335" width="11.42578125" customWidth="1"/>
    <col min="14337" max="14337" width="1.7109375" customWidth="1"/>
    <col min="14338" max="14338" width="27" customWidth="1"/>
    <col min="14339" max="14339" width="17.28515625" customWidth="1"/>
    <col min="14340" max="14340" width="10.7109375" customWidth="1"/>
    <col min="14341" max="14341" width="10.28515625" customWidth="1"/>
    <col min="14342" max="14342" width="3.140625" customWidth="1"/>
    <col min="14343" max="14343" width="12.42578125" customWidth="1"/>
    <col min="14344" max="14345" width="11.42578125" customWidth="1"/>
    <col min="14346" max="14346" width="23.42578125" customWidth="1"/>
    <col min="14347" max="14347" width="1" customWidth="1"/>
    <col min="14348" max="14348" width="5.140625" customWidth="1"/>
    <col min="14349" max="14591" width="11.42578125" customWidth="1"/>
    <col min="14593" max="14593" width="1.7109375" customWidth="1"/>
    <col min="14594" max="14594" width="27" customWidth="1"/>
    <col min="14595" max="14595" width="17.28515625" customWidth="1"/>
    <col min="14596" max="14596" width="10.7109375" customWidth="1"/>
    <col min="14597" max="14597" width="10.28515625" customWidth="1"/>
    <col min="14598" max="14598" width="3.140625" customWidth="1"/>
    <col min="14599" max="14599" width="12.42578125" customWidth="1"/>
    <col min="14600" max="14601" width="11.42578125" customWidth="1"/>
    <col min="14602" max="14602" width="23.42578125" customWidth="1"/>
    <col min="14603" max="14603" width="1" customWidth="1"/>
    <col min="14604" max="14604" width="5.140625" customWidth="1"/>
    <col min="14605" max="14847" width="11.42578125" customWidth="1"/>
    <col min="14849" max="14849" width="1.7109375" customWidth="1"/>
    <col min="14850" max="14850" width="27" customWidth="1"/>
    <col min="14851" max="14851" width="17.28515625" customWidth="1"/>
    <col min="14852" max="14852" width="10.7109375" customWidth="1"/>
    <col min="14853" max="14853" width="10.28515625" customWidth="1"/>
    <col min="14854" max="14854" width="3.140625" customWidth="1"/>
    <col min="14855" max="14855" width="12.42578125" customWidth="1"/>
    <col min="14856" max="14857" width="11.42578125" customWidth="1"/>
    <col min="14858" max="14858" width="23.42578125" customWidth="1"/>
    <col min="14859" max="14859" width="1" customWidth="1"/>
    <col min="14860" max="14860" width="5.140625" customWidth="1"/>
    <col min="14861" max="15103" width="11.42578125" customWidth="1"/>
    <col min="15105" max="15105" width="1.7109375" customWidth="1"/>
    <col min="15106" max="15106" width="27" customWidth="1"/>
    <col min="15107" max="15107" width="17.28515625" customWidth="1"/>
    <col min="15108" max="15108" width="10.7109375" customWidth="1"/>
    <col min="15109" max="15109" width="10.28515625" customWidth="1"/>
    <col min="15110" max="15110" width="3.140625" customWidth="1"/>
    <col min="15111" max="15111" width="12.42578125" customWidth="1"/>
    <col min="15112" max="15113" width="11.42578125" customWidth="1"/>
    <col min="15114" max="15114" width="23.42578125" customWidth="1"/>
    <col min="15115" max="15115" width="1" customWidth="1"/>
    <col min="15116" max="15116" width="5.140625" customWidth="1"/>
    <col min="15117" max="15359" width="11.42578125" customWidth="1"/>
    <col min="15361" max="15361" width="1.7109375" customWidth="1"/>
    <col min="15362" max="15362" width="27" customWidth="1"/>
    <col min="15363" max="15363" width="17.28515625" customWidth="1"/>
    <col min="15364" max="15364" width="10.7109375" customWidth="1"/>
    <col min="15365" max="15365" width="10.28515625" customWidth="1"/>
    <col min="15366" max="15366" width="3.140625" customWidth="1"/>
    <col min="15367" max="15367" width="12.42578125" customWidth="1"/>
    <col min="15368" max="15369" width="11.42578125" customWidth="1"/>
    <col min="15370" max="15370" width="23.42578125" customWidth="1"/>
    <col min="15371" max="15371" width="1" customWidth="1"/>
    <col min="15372" max="15372" width="5.140625" customWidth="1"/>
    <col min="15373" max="15615" width="11.42578125" customWidth="1"/>
    <col min="15617" max="15617" width="1.7109375" customWidth="1"/>
    <col min="15618" max="15618" width="27" customWidth="1"/>
    <col min="15619" max="15619" width="17.28515625" customWidth="1"/>
    <col min="15620" max="15620" width="10.7109375" customWidth="1"/>
    <col min="15621" max="15621" width="10.28515625" customWidth="1"/>
    <col min="15622" max="15622" width="3.140625" customWidth="1"/>
    <col min="15623" max="15623" width="12.42578125" customWidth="1"/>
    <col min="15624" max="15625" width="11.42578125" customWidth="1"/>
    <col min="15626" max="15626" width="23.42578125" customWidth="1"/>
    <col min="15627" max="15627" width="1" customWidth="1"/>
    <col min="15628" max="15628" width="5.140625" customWidth="1"/>
    <col min="15629" max="15871" width="11.42578125" customWidth="1"/>
    <col min="15873" max="15873" width="1.7109375" customWidth="1"/>
    <col min="15874" max="15874" width="27" customWidth="1"/>
    <col min="15875" max="15875" width="17.28515625" customWidth="1"/>
    <col min="15876" max="15876" width="10.7109375" customWidth="1"/>
    <col min="15877" max="15877" width="10.28515625" customWidth="1"/>
    <col min="15878" max="15878" width="3.140625" customWidth="1"/>
    <col min="15879" max="15879" width="12.42578125" customWidth="1"/>
    <col min="15880" max="15881" width="11.42578125" customWidth="1"/>
    <col min="15882" max="15882" width="23.42578125" customWidth="1"/>
    <col min="15883" max="15883" width="1" customWidth="1"/>
    <col min="15884" max="15884" width="5.140625" customWidth="1"/>
    <col min="15885" max="16127" width="11.42578125" customWidth="1"/>
    <col min="16129" max="16129" width="1.7109375" customWidth="1"/>
    <col min="16130" max="16130" width="27" customWidth="1"/>
    <col min="16131" max="16131" width="17.28515625" customWidth="1"/>
    <col min="16132" max="16132" width="10.7109375" customWidth="1"/>
    <col min="16133" max="16133" width="10.28515625" customWidth="1"/>
    <col min="16134" max="16134" width="3.140625" customWidth="1"/>
    <col min="16135" max="16135" width="12.42578125" customWidth="1"/>
    <col min="16136" max="16137" width="11.42578125" customWidth="1"/>
    <col min="16138" max="16138" width="23.42578125" customWidth="1"/>
    <col min="16139" max="16139" width="1" customWidth="1"/>
    <col min="16140" max="16140" width="5.140625" customWidth="1"/>
    <col min="16141" max="16383" width="11.42578125" customWidth="1"/>
  </cols>
  <sheetData>
    <row r="1" spans="2:22" ht="7.5" customHeight="1" thickBot="1" x14ac:dyDescent="0.3"/>
    <row r="2" spans="2:22" ht="19.5" thickBot="1" x14ac:dyDescent="0.3">
      <c r="B2" s="542" t="s">
        <v>278</v>
      </c>
      <c r="C2" s="543"/>
      <c r="D2" s="543"/>
      <c r="E2" s="543"/>
      <c r="F2" s="543"/>
      <c r="G2" s="543"/>
      <c r="H2" s="543"/>
      <c r="I2" s="544"/>
    </row>
    <row r="3" spans="2:22" ht="25.5" customHeight="1" x14ac:dyDescent="0.25">
      <c r="B3" s="545" t="s">
        <v>279</v>
      </c>
      <c r="C3" s="545"/>
      <c r="D3" s="545"/>
      <c r="E3" s="545"/>
      <c r="F3" s="545"/>
      <c r="G3" s="545"/>
      <c r="H3" s="545"/>
      <c r="I3" s="545"/>
    </row>
    <row r="4" spans="2:22" ht="3.75" customHeight="1" thickBot="1" x14ac:dyDescent="0.3">
      <c r="B4" s="339"/>
      <c r="C4" s="339"/>
      <c r="D4" s="339"/>
      <c r="E4" s="339"/>
      <c r="F4" s="339"/>
      <c r="G4" s="339"/>
      <c r="H4" s="339"/>
      <c r="I4" s="339"/>
    </row>
    <row r="5" spans="2:22" s="344" customFormat="1" ht="18.75" x14ac:dyDescent="0.35">
      <c r="B5" s="340" t="s">
        <v>280</v>
      </c>
      <c r="C5" s="341" t="s">
        <v>281</v>
      </c>
      <c r="D5" s="342" t="s">
        <v>282</v>
      </c>
      <c r="E5" s="341"/>
      <c r="F5" s="341"/>
      <c r="G5" s="341"/>
      <c r="H5" s="341"/>
      <c r="I5" s="343"/>
      <c r="M5" s="345"/>
      <c r="N5" s="345"/>
      <c r="Q5" s="346"/>
      <c r="R5" s="347"/>
      <c r="S5" s="347"/>
    </row>
    <row r="6" spans="2:22" s="344" customFormat="1" ht="18" x14ac:dyDescent="0.25">
      <c r="B6" s="348" t="s">
        <v>283</v>
      </c>
      <c r="C6" s="349">
        <v>3.5999999999999997E-2</v>
      </c>
      <c r="D6" s="350" t="s">
        <v>284</v>
      </c>
      <c r="E6" s="351">
        <v>3</v>
      </c>
      <c r="F6" s="352" t="s">
        <v>79</v>
      </c>
      <c r="G6" s="353"/>
      <c r="H6" s="354" t="s">
        <v>285</v>
      </c>
      <c r="I6" s="355">
        <f>E6*C6</f>
        <v>0.10799999999999998</v>
      </c>
      <c r="M6" s="345"/>
      <c r="N6" s="345"/>
      <c r="Q6" s="346"/>
      <c r="R6" s="347"/>
      <c r="S6" s="347"/>
    </row>
    <row r="7" spans="2:22" s="344" customFormat="1" x14ac:dyDescent="0.25">
      <c r="B7" s="356" t="s">
        <v>286</v>
      </c>
      <c r="C7" s="357">
        <v>0.75</v>
      </c>
      <c r="D7" s="352"/>
      <c r="E7" s="352"/>
      <c r="F7" s="352"/>
      <c r="G7" s="352"/>
      <c r="H7" s="352"/>
      <c r="I7" s="358"/>
      <c r="R7" s="347"/>
      <c r="S7" s="347"/>
    </row>
    <row r="8" spans="2:22" s="344" customFormat="1" ht="19.5" thickBot="1" x14ac:dyDescent="0.4">
      <c r="B8" s="359" t="s">
        <v>287</v>
      </c>
      <c r="C8" s="360">
        <f>1-((1-I6)^C7)</f>
        <v>8.2145924182677299E-2</v>
      </c>
      <c r="D8" s="361"/>
      <c r="E8" s="361"/>
      <c r="F8" s="361"/>
      <c r="G8" s="361"/>
      <c r="H8" s="361"/>
      <c r="I8" s="362"/>
    </row>
    <row r="9" spans="2:22" s="344" customFormat="1" ht="4.5" customHeight="1" thickBot="1" x14ac:dyDescent="0.3"/>
    <row r="10" spans="2:22" s="347" customFormat="1" ht="15.75" hidden="1" thickBot="1" x14ac:dyDescent="0.3">
      <c r="B10" s="363"/>
      <c r="C10" s="364"/>
      <c r="D10" s="365"/>
      <c r="E10" s="366"/>
      <c r="G10" s="344"/>
      <c r="H10" s="344"/>
      <c r="I10" s="344"/>
    </row>
    <row r="11" spans="2:22" s="344" customFormat="1" ht="15.75" hidden="1" thickBot="1" x14ac:dyDescent="0.3">
      <c r="B11" s="367" t="s">
        <v>288</v>
      </c>
      <c r="M11" s="347"/>
      <c r="N11" s="347"/>
      <c r="S11" s="347"/>
      <c r="T11" s="347"/>
    </row>
    <row r="12" spans="2:22" s="344" customFormat="1" ht="19.5" hidden="1" thickBot="1" x14ac:dyDescent="0.4">
      <c r="B12" s="344" t="s">
        <v>289</v>
      </c>
      <c r="D12" s="368" t="s">
        <v>290</v>
      </c>
      <c r="M12" s="347"/>
      <c r="N12" s="347"/>
      <c r="S12" s="347"/>
      <c r="T12" s="347"/>
    </row>
    <row r="13" spans="2:22" s="344" customFormat="1" ht="18" hidden="1" thickBot="1" x14ac:dyDescent="0.3">
      <c r="B13" s="369" t="s">
        <v>291</v>
      </c>
      <c r="D13" s="368"/>
      <c r="G13" s="368" t="s">
        <v>292</v>
      </c>
      <c r="M13" s="347"/>
      <c r="N13" s="347"/>
      <c r="S13" s="347"/>
      <c r="T13" s="347"/>
    </row>
    <row r="14" spans="2:22" s="344" customFormat="1" ht="33.75" customHeight="1" thickBot="1" x14ac:dyDescent="0.3">
      <c r="B14" s="546" t="s">
        <v>293</v>
      </c>
      <c r="C14" s="547"/>
      <c r="D14" s="547"/>
      <c r="E14" s="548"/>
      <c r="G14" s="370"/>
      <c r="H14" s="371"/>
      <c r="I14" s="371"/>
      <c r="J14" s="371"/>
      <c r="K14" s="2"/>
      <c r="M14" s="347"/>
      <c r="N14" s="347"/>
      <c r="S14" s="347"/>
      <c r="T14" s="347"/>
    </row>
    <row r="15" spans="2:22" s="344" customFormat="1" ht="15.75" x14ac:dyDescent="0.25">
      <c r="B15" s="372" t="s">
        <v>294</v>
      </c>
      <c r="C15" s="373">
        <f>I6</f>
        <v>0.10799999999999998</v>
      </c>
      <c r="D15" s="374" t="s">
        <v>295</v>
      </c>
      <c r="E15" s="375">
        <f>1-C15</f>
        <v>0.89200000000000002</v>
      </c>
      <c r="F15" s="369"/>
      <c r="G15" s="370"/>
      <c r="H15" s="376"/>
      <c r="I15" s="371"/>
      <c r="J15" s="371"/>
      <c r="K15" s="2"/>
      <c r="M15" s="347"/>
      <c r="N15" s="347"/>
      <c r="V15" s="377" t="e">
        <f>Q5/S5</f>
        <v>#DIV/0!</v>
      </c>
    </row>
    <row r="16" spans="2:22" s="344" customFormat="1" ht="15.75" x14ac:dyDescent="0.25">
      <c r="B16" s="378" t="s">
        <v>296</v>
      </c>
      <c r="C16" s="379">
        <f>C8</f>
        <v>8.2145924182677299E-2</v>
      </c>
      <c r="D16" s="380" t="s">
        <v>297</v>
      </c>
      <c r="E16" s="381">
        <f>1-C16</f>
        <v>0.9178540758173227</v>
      </c>
      <c r="F16" s="369"/>
      <c r="G16" s="370"/>
      <c r="H16" s="376"/>
      <c r="I16" s="371"/>
      <c r="J16" s="371"/>
      <c r="K16" s="2"/>
      <c r="M16" s="347"/>
      <c r="N16" s="347"/>
      <c r="V16" s="377" t="e">
        <f>Q6/S6</f>
        <v>#DIV/0!</v>
      </c>
    </row>
    <row r="17" spans="2:20" s="344" customFormat="1" ht="15.75" x14ac:dyDescent="0.25">
      <c r="B17" s="382" t="s">
        <v>298</v>
      </c>
      <c r="C17" s="383">
        <f>(C15+C16)/2</f>
        <v>9.5072962091338642E-2</v>
      </c>
      <c r="D17" s="380" t="s">
        <v>299</v>
      </c>
      <c r="E17" s="381">
        <f>1-C17</f>
        <v>0.90492703790866136</v>
      </c>
      <c r="F17" s="369"/>
      <c r="G17" s="371"/>
      <c r="H17" s="371"/>
      <c r="I17" s="384"/>
      <c r="J17" s="371"/>
      <c r="K17" s="2"/>
      <c r="M17" s="347"/>
      <c r="N17" s="347"/>
    </row>
    <row r="18" spans="2:20" s="344" customFormat="1" ht="15.75" x14ac:dyDescent="0.25">
      <c r="B18" s="385" t="s">
        <v>300</v>
      </c>
      <c r="C18" s="386">
        <v>0.05</v>
      </c>
      <c r="D18" s="387" t="s">
        <v>301</v>
      </c>
      <c r="E18" s="381">
        <f>-NORMSINV((C18*100/2)/100)</f>
        <v>1.9599639845400538</v>
      </c>
      <c r="F18" s="369"/>
      <c r="G18" s="388" t="s">
        <v>385</v>
      </c>
      <c r="H18" s="389"/>
      <c r="I18" s="506"/>
      <c r="J18" s="371"/>
      <c r="K18" s="2"/>
      <c r="M18" s="347"/>
      <c r="N18" s="347"/>
      <c r="S18" s="347"/>
      <c r="T18" s="347"/>
    </row>
    <row r="19" spans="2:20" s="344" customFormat="1" ht="15.75" x14ac:dyDescent="0.25">
      <c r="B19" s="385" t="s">
        <v>302</v>
      </c>
      <c r="C19" s="391">
        <v>0.2</v>
      </c>
      <c r="D19" s="392" t="s">
        <v>303</v>
      </c>
      <c r="E19" s="381">
        <f>-NORMSINV(C19)</f>
        <v>0.84162123357291452</v>
      </c>
      <c r="F19" s="369"/>
      <c r="G19" s="393">
        <f>E25*C15</f>
        <v>218.26799999999997</v>
      </c>
      <c r="H19" s="394" t="s">
        <v>386</v>
      </c>
      <c r="I19" s="507"/>
      <c r="J19" s="371"/>
      <c r="K19" s="2"/>
      <c r="M19" s="347"/>
      <c r="N19" s="347"/>
      <c r="S19" s="347"/>
      <c r="T19" s="347"/>
    </row>
    <row r="20" spans="2:20" s="344" customFormat="1" ht="15.75" x14ac:dyDescent="0.25">
      <c r="B20" s="385" t="s">
        <v>304</v>
      </c>
      <c r="C20" s="395">
        <f>2*C17*E17*(E18+E19)^2</f>
        <v>1.3505425132565603</v>
      </c>
      <c r="D20" s="350"/>
      <c r="E20" s="358"/>
      <c r="F20" s="369"/>
      <c r="G20" s="396">
        <f>E25*C16</f>
        <v>166.01691277319082</v>
      </c>
      <c r="H20" s="397" t="s">
        <v>387</v>
      </c>
      <c r="I20" s="398"/>
      <c r="J20" s="371"/>
      <c r="K20" s="2"/>
      <c r="M20" s="347"/>
      <c r="N20" s="347"/>
      <c r="S20" s="347"/>
      <c r="T20" s="347"/>
    </row>
    <row r="21" spans="2:20" s="344" customFormat="1" ht="15.75" x14ac:dyDescent="0.25">
      <c r="B21" s="385" t="s">
        <v>305</v>
      </c>
      <c r="C21" s="399">
        <f>(C15-C16)^2</f>
        <v>6.6843323636786968E-4</v>
      </c>
      <c r="D21" s="352"/>
      <c r="E21" s="358"/>
      <c r="F21" s="369"/>
      <c r="G21" s="400">
        <f>SUM(G19:G20)</f>
        <v>384.2849127731908</v>
      </c>
      <c r="H21" s="388" t="s">
        <v>306</v>
      </c>
      <c r="I21" s="390"/>
      <c r="J21" s="371"/>
      <c r="K21" s="2"/>
      <c r="M21" s="347"/>
      <c r="N21" s="347"/>
      <c r="S21" s="347"/>
      <c r="T21" s="347"/>
    </row>
    <row r="22" spans="2:20" s="344" customFormat="1" ht="15.75" x14ac:dyDescent="0.25">
      <c r="B22" s="401" t="s">
        <v>307</v>
      </c>
      <c r="C22" s="402">
        <f>ROUNDUP(C20/C21,0)</f>
        <v>2021</v>
      </c>
      <c r="D22" s="403"/>
      <c r="E22" s="358"/>
      <c r="F22" s="369"/>
      <c r="J22" s="371"/>
      <c r="K22" s="2"/>
      <c r="M22" s="347"/>
      <c r="N22" s="347"/>
      <c r="S22" s="347"/>
      <c r="T22" s="347"/>
    </row>
    <row r="23" spans="2:20" s="344" customFormat="1" ht="15.75" thickBot="1" x14ac:dyDescent="0.3">
      <c r="B23" s="404" t="s">
        <v>308</v>
      </c>
      <c r="C23" s="405">
        <f>C22*2</f>
        <v>4042</v>
      </c>
      <c r="D23" s="406"/>
      <c r="E23" s="362"/>
      <c r="F23" s="369"/>
      <c r="G23" s="369"/>
      <c r="H23" s="369"/>
      <c r="I23" s="407"/>
      <c r="J23" s="369"/>
      <c r="M23" s="347"/>
      <c r="N23" s="347"/>
      <c r="S23" s="347"/>
      <c r="T23" s="347"/>
    </row>
    <row r="24" spans="2:20" s="344" customFormat="1" ht="6.75" customHeight="1" x14ac:dyDescent="0.25">
      <c r="H24" s="408"/>
    </row>
    <row r="25" spans="2:20" s="344" customFormat="1" x14ac:dyDescent="0.25">
      <c r="B25" s="410" t="s">
        <v>309</v>
      </c>
      <c r="C25" s="411">
        <v>0</v>
      </c>
      <c r="D25" s="369" t="s">
        <v>310</v>
      </c>
      <c r="E25" s="402">
        <f>C22*1/(1-C25)</f>
        <v>2021</v>
      </c>
      <c r="F25" s="344" t="s">
        <v>311</v>
      </c>
      <c r="G25" s="409"/>
      <c r="H25" s="409"/>
    </row>
    <row r="26" spans="2:20" s="412" customFormat="1" x14ac:dyDescent="0.25">
      <c r="I26" s="2"/>
    </row>
    <row r="27" spans="2:20" s="412" customFormat="1" x14ac:dyDescent="0.25">
      <c r="D27" s="413"/>
      <c r="E27" s="414"/>
      <c r="I27" s="2"/>
    </row>
    <row r="28" spans="2:20" s="412" customFormat="1" x14ac:dyDescent="0.25">
      <c r="D28" s="413"/>
      <c r="E28" s="414"/>
      <c r="I28" s="2"/>
      <c r="J28" s="73"/>
      <c r="K28" s="73"/>
      <c r="L28" s="73"/>
      <c r="M28" s="73"/>
      <c r="N28" s="73"/>
      <c r="O28" s="73"/>
      <c r="P28" s="73"/>
    </row>
    <row r="29" spans="2:20" x14ac:dyDescent="0.25">
      <c r="J29" s="415"/>
      <c r="K29" s="416"/>
      <c r="L29" s="416"/>
      <c r="M29" s="415"/>
      <c r="N29" s="416"/>
      <c r="O29" s="416"/>
      <c r="P29" s="417"/>
    </row>
    <row r="30" spans="2:20" x14ac:dyDescent="0.25">
      <c r="E30" s="418"/>
      <c r="J30" s="419"/>
      <c r="K30" s="420"/>
      <c r="L30" s="420"/>
      <c r="M30" s="420"/>
      <c r="N30" s="421"/>
      <c r="O30" s="420"/>
      <c r="P30" s="422"/>
    </row>
    <row r="31" spans="2:20" x14ac:dyDescent="0.25">
      <c r="G31" s="423"/>
      <c r="H31" s="423"/>
      <c r="I31" s="423"/>
    </row>
  </sheetData>
  <mergeCells count="3">
    <mergeCell ref="B2:I2"/>
    <mergeCell ref="B3:I3"/>
    <mergeCell ref="B14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B5" sqref="B5"/>
    </sheetView>
  </sheetViews>
  <sheetFormatPr baseColWidth="10" defaultRowHeight="15" x14ac:dyDescent="0.25"/>
  <cols>
    <col min="1" max="1" width="2.85546875" customWidth="1"/>
    <col min="2" max="2" width="59.5703125" customWidth="1"/>
    <col min="3" max="3" width="29.85546875" customWidth="1"/>
  </cols>
  <sheetData>
    <row r="1" spans="2:3" ht="15.75" thickBot="1" x14ac:dyDescent="0.3"/>
    <row r="2" spans="2:3" ht="38.25" customHeight="1" thickBot="1" x14ac:dyDescent="0.3">
      <c r="B2" s="540" t="s">
        <v>277</v>
      </c>
      <c r="C2" s="541"/>
    </row>
    <row r="3" spans="2:3" ht="7.5" customHeight="1" x14ac:dyDescent="0.25">
      <c r="B3" s="266"/>
      <c r="C3" s="266"/>
    </row>
    <row r="4" spans="2:3" ht="38.25" x14ac:dyDescent="0.25">
      <c r="B4" s="268"/>
      <c r="C4" s="267" t="s">
        <v>180</v>
      </c>
    </row>
    <row r="5" spans="2:3" ht="45" x14ac:dyDescent="0.25">
      <c r="B5" s="430" t="s">
        <v>161</v>
      </c>
      <c r="C5" s="431" t="s">
        <v>162</v>
      </c>
    </row>
    <row r="6" spans="2:3" x14ac:dyDescent="0.25">
      <c r="B6" s="430" t="s">
        <v>163</v>
      </c>
      <c r="C6" s="431" t="s">
        <v>181</v>
      </c>
    </row>
    <row r="7" spans="2:3" x14ac:dyDescent="0.25">
      <c r="B7" s="430" t="s">
        <v>164</v>
      </c>
      <c r="C7" s="432" t="s">
        <v>162</v>
      </c>
    </row>
    <row r="8" spans="2:3" ht="30" x14ac:dyDescent="0.25">
      <c r="B8" s="430" t="s">
        <v>165</v>
      </c>
      <c r="C8" s="432" t="s">
        <v>166</v>
      </c>
    </row>
    <row r="9" spans="2:3" ht="30" x14ac:dyDescent="0.25">
      <c r="B9" s="430" t="s">
        <v>167</v>
      </c>
      <c r="C9" s="432" t="s">
        <v>166</v>
      </c>
    </row>
    <row r="10" spans="2:3" ht="30" x14ac:dyDescent="0.25">
      <c r="B10" s="430" t="s">
        <v>168</v>
      </c>
      <c r="C10" s="432" t="s">
        <v>166</v>
      </c>
    </row>
    <row r="11" spans="2:3" ht="30" x14ac:dyDescent="0.25">
      <c r="B11" s="430" t="s">
        <v>169</v>
      </c>
      <c r="C11" s="431" t="s">
        <v>162</v>
      </c>
    </row>
    <row r="12" spans="2:3" ht="30" x14ac:dyDescent="0.25">
      <c r="B12" s="430" t="s">
        <v>170</v>
      </c>
      <c r="C12" s="269" t="s">
        <v>171</v>
      </c>
    </row>
    <row r="13" spans="2:3" ht="30" x14ac:dyDescent="0.25">
      <c r="B13" s="430" t="s">
        <v>172</v>
      </c>
      <c r="C13" s="431" t="s">
        <v>182</v>
      </c>
    </row>
    <row r="14" spans="2:3" ht="30" x14ac:dyDescent="0.25">
      <c r="B14" s="430" t="s">
        <v>173</v>
      </c>
      <c r="C14" s="269" t="s">
        <v>171</v>
      </c>
    </row>
    <row r="15" spans="2:3" ht="30" x14ac:dyDescent="0.25">
      <c r="B15" s="430" t="s">
        <v>174</v>
      </c>
      <c r="C15" s="433" t="s">
        <v>183</v>
      </c>
    </row>
    <row r="16" spans="2:3" x14ac:dyDescent="0.25">
      <c r="B16" s="430" t="s">
        <v>175</v>
      </c>
      <c r="C16" s="433" t="s">
        <v>184</v>
      </c>
    </row>
    <row r="17" spans="2:3" ht="30" x14ac:dyDescent="0.25">
      <c r="B17" s="430" t="s">
        <v>176</v>
      </c>
      <c r="C17" s="270" t="s">
        <v>177</v>
      </c>
    </row>
  </sheetData>
  <mergeCells count="1">
    <mergeCell ref="B2:C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Inc Acum</vt:lpstr>
      <vt:lpstr>PtSLEv</vt:lpstr>
      <vt:lpstr>Coste</vt:lpstr>
      <vt:lpstr>Baseline</vt:lpstr>
      <vt:lpstr>Size por HR</vt:lpstr>
      <vt:lpstr>Val Evid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2019-02-25T09:55:04Z</dcterms:modified>
</cp:coreProperties>
</file>